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showInkAnnotation="0" autoCompressPictures="0"/>
  <bookViews>
    <workbookView xWindow="1365" yWindow="-165" windowWidth="21645" windowHeight="13740"/>
  </bookViews>
  <sheets>
    <sheet name="Raw Project Data" sheetId="1" r:id="rId1"/>
    <sheet name="Metric Breakdown" sheetId="2" r:id="rId2"/>
  </sheet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F192" i="1"/>
  <c r="E192"/>
  <c r="H192"/>
  <c r="C211"/>
  <c r="E189"/>
  <c r="D189"/>
  <c r="B189"/>
  <c r="B192"/>
  <c r="K194"/>
  <c r="B203"/>
  <c r="B204"/>
  <c r="B205"/>
  <c r="C184"/>
  <c r="E184"/>
  <c r="C189"/>
  <c r="F199"/>
  <c r="E199"/>
  <c r="F198"/>
  <c r="E198"/>
  <c r="F197"/>
  <c r="E197"/>
  <c r="F196"/>
  <c r="E196"/>
  <c r="F195"/>
  <c r="E195"/>
  <c r="E194"/>
  <c r="F193"/>
  <c r="E193"/>
  <c r="B187"/>
  <c r="B186"/>
  <c r="B191"/>
  <c r="L188"/>
  <c r="F194"/>
  <c r="K134"/>
  <c r="D186"/>
  <c r="E187"/>
  <c r="E188"/>
  <c r="E186"/>
  <c r="F186"/>
  <c r="G186"/>
  <c r="H186"/>
  <c r="K186"/>
  <c r="L186"/>
  <c r="D187"/>
  <c r="G187"/>
  <c r="H187"/>
  <c r="G188"/>
  <c r="C5" i="2"/>
  <c r="C6"/>
  <c r="C7"/>
  <c r="C8"/>
  <c r="C9"/>
  <c r="C10"/>
  <c r="C11"/>
  <c r="C12"/>
  <c r="C13"/>
  <c r="B14"/>
  <c r="B28"/>
  <c r="B29"/>
  <c r="H66"/>
  <c r="H65"/>
  <c r="H64"/>
  <c r="H63"/>
  <c r="H62"/>
  <c r="H57"/>
  <c r="H56"/>
  <c r="H44"/>
  <c r="H52"/>
  <c r="H51"/>
  <c r="H50"/>
  <c r="H43"/>
  <c r="H42"/>
  <c r="H41"/>
  <c r="H39"/>
  <c r="J29"/>
  <c r="I27"/>
  <c r="I28"/>
  <c r="J26"/>
  <c r="I26"/>
  <c r="I24"/>
  <c r="I25"/>
  <c r="I23"/>
  <c r="J22"/>
  <c r="I22"/>
  <c r="J21"/>
  <c r="I21"/>
  <c r="J20"/>
  <c r="I20"/>
  <c r="J19"/>
  <c r="I19"/>
  <c r="J18"/>
  <c r="I18"/>
  <c r="I5"/>
  <c r="I4"/>
  <c r="B48"/>
  <c r="B47"/>
  <c r="B46"/>
  <c r="B45"/>
  <c r="B44"/>
  <c r="B43"/>
  <c r="B42"/>
  <c r="B41"/>
  <c r="B40"/>
  <c r="B39"/>
  <c r="B38"/>
  <c r="B37"/>
  <c r="B36"/>
  <c r="B35"/>
  <c r="B34"/>
  <c r="B33"/>
  <c r="B32"/>
  <c r="B31"/>
  <c r="B30"/>
  <c r="B27"/>
  <c r="B26"/>
  <c r="B25"/>
  <c r="B24"/>
  <c r="B23"/>
  <c r="B22"/>
  <c r="B21"/>
  <c r="B20"/>
  <c r="B19"/>
  <c r="B49"/>
  <c r="I34"/>
  <c r="D230"/>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I33"/>
  <c r="B15"/>
  <c r="F13"/>
  <c r="F12"/>
  <c r="F11"/>
  <c r="F10"/>
  <c r="F9"/>
  <c r="F8"/>
  <c r="F7"/>
  <c r="F6"/>
  <c r="F5"/>
  <c r="B6"/>
  <c r="B5"/>
  <c r="B7"/>
  <c r="B8"/>
  <c r="B9"/>
  <c r="B10"/>
  <c r="E6"/>
  <c r="E7"/>
  <c r="E8"/>
  <c r="E9"/>
  <c r="E10"/>
  <c r="E11"/>
  <c r="E12"/>
  <c r="D6"/>
  <c r="D7"/>
  <c r="D8"/>
  <c r="D9"/>
  <c r="D10"/>
  <c r="D11"/>
  <c r="D12"/>
  <c r="E5"/>
  <c r="D5"/>
  <c r="I11"/>
  <c r="I10"/>
  <c r="I9"/>
  <c r="I8"/>
  <c r="I7"/>
  <c r="I14"/>
  <c r="I13"/>
  <c r="I12"/>
  <c r="I6"/>
  <c r="B12"/>
  <c r="B11"/>
</calcChain>
</file>

<file path=xl/sharedStrings.xml><?xml version="1.0" encoding="utf-8"?>
<sst xmlns="http://schemas.openxmlformats.org/spreadsheetml/2006/main" count="1376" uniqueCount="654">
  <si>
    <t>240&lt;250</t>
    <phoneticPr fontId="9" type="noConversion"/>
  </si>
  <si>
    <t>250&lt;260</t>
    <phoneticPr fontId="9" type="noConversion"/>
  </si>
  <si>
    <t>260&lt;270</t>
    <phoneticPr fontId="9" type="noConversion"/>
  </si>
  <si>
    <t>270&lt;280</t>
    <phoneticPr fontId="9" type="noConversion"/>
  </si>
  <si>
    <t>280&lt;290</t>
    <phoneticPr fontId="9" type="noConversion"/>
  </si>
  <si>
    <t>290&lt;300</t>
    <phoneticPr fontId="9" type="noConversion"/>
  </si>
  <si>
    <t>&gt;300</t>
    <phoneticPr fontId="9" type="noConversion"/>
  </si>
  <si>
    <t>Occurrence</t>
    <phoneticPr fontId="9" type="noConversion"/>
  </si>
  <si>
    <t>Funding Percentage Interval</t>
    <phoneticPr fontId="9" type="noConversion"/>
  </si>
  <si>
    <t>Total Number of Projects</t>
    <phoneticPr fontId="9" type="noConversion"/>
  </si>
  <si>
    <t>Success Rate (As of 12/24/12)</t>
    <phoneticPr fontId="9" type="noConversion"/>
  </si>
  <si>
    <t>Location</t>
    <phoneticPr fontId="9" type="noConversion"/>
  </si>
  <si>
    <t>Number of Projects</t>
    <phoneticPr fontId="9" type="noConversion"/>
  </si>
  <si>
    <t>-</t>
    <phoneticPr fontId="9" type="noConversion"/>
  </si>
  <si>
    <t>Towns w/ fewer than 3 projects</t>
    <phoneticPr fontId="9" type="noConversion"/>
  </si>
  <si>
    <t>Percentage of Projects Funded</t>
    <phoneticPr fontId="9" type="noConversion"/>
  </si>
  <si>
    <t>Category</t>
    <phoneticPr fontId="9" type="noConversion"/>
  </si>
  <si>
    <t>Duration (Days)</t>
    <phoneticPr fontId="9" type="noConversion"/>
  </si>
  <si>
    <t>Project Duration to Percentage of Funding Goal Received</t>
    <phoneticPr fontId="9" type="noConversion"/>
  </si>
  <si>
    <t>Number of Facebook Likes to Percentage of Funding Goal Received</t>
    <phoneticPr fontId="9" type="noConversion"/>
  </si>
  <si>
    <t>Correlation</t>
    <phoneticPr fontId="9" type="noConversion"/>
  </si>
  <si>
    <t>We're putting together our next studio album, and we want you to be a part of it. Check out the video for some clips from the studio.</t>
    <phoneticPr fontId="9" type="noConversion"/>
  </si>
  <si>
    <t>The Story of Small Ski Areas</t>
    <phoneticPr fontId="9" type="noConversion"/>
  </si>
  <si>
    <t>Product</t>
    <phoneticPr fontId="9" type="noConversion"/>
  </si>
  <si>
    <t>Corr FB/% Comp</t>
    <phoneticPr fontId="9" type="noConversion"/>
  </si>
  <si>
    <t>Corr Dur/%Comp</t>
    <phoneticPr fontId="9" type="noConversion"/>
  </si>
  <si>
    <t>Design</t>
    <phoneticPr fontId="9" type="noConversion"/>
  </si>
  <si>
    <t>Design</t>
    <phoneticPr fontId="9" type="noConversion"/>
  </si>
  <si>
    <t>Max</t>
    <phoneticPr fontId="9" type="noConversion"/>
  </si>
  <si>
    <t>(Publishing)</t>
    <phoneticPr fontId="9" type="noConversion"/>
  </si>
  <si>
    <t>Min</t>
    <phoneticPr fontId="9" type="noConversion"/>
  </si>
  <si>
    <t>(Design)</t>
    <phoneticPr fontId="9" type="noConversion"/>
  </si>
  <si>
    <t>Average</t>
    <phoneticPr fontId="9" type="noConversion"/>
  </si>
  <si>
    <t>I Have been accepted to attend a artist residency at the Vermont Studio center in December.</t>
  </si>
  <si>
    <r>
      <rPr>
        <u/>
        <sz val="9"/>
        <color indexed="15"/>
        <rFont val="Helvetica Neue Light"/>
      </rPr>
      <t>Sally Discovers New York</t>
    </r>
  </si>
  <si>
    <t>Print Release of Debris Dreams</t>
    <phoneticPr fontId="9" type="noConversion"/>
  </si>
  <si>
    <t>The math is simple: Survival isn't</t>
    <phoneticPr fontId="9" type="noConversion"/>
  </si>
  <si>
    <t>&lt;10</t>
    <phoneticPr fontId="9" type="noConversion"/>
  </si>
  <si>
    <t>10&lt;20</t>
    <phoneticPr fontId="9" type="noConversion"/>
  </si>
  <si>
    <t>20&lt;30</t>
    <phoneticPr fontId="9" type="noConversion"/>
  </si>
  <si>
    <t>30&lt;40</t>
    <phoneticPr fontId="9" type="noConversion"/>
  </si>
  <si>
    <t>40&lt;50</t>
    <phoneticPr fontId="9" type="noConversion"/>
  </si>
  <si>
    <t>50&lt;60</t>
    <phoneticPr fontId="9" type="noConversion"/>
  </si>
  <si>
    <t>An inter-generational project documenting the winter traditions of Montpelier, Vermont</t>
  </si>
  <si>
    <r>
      <rPr>
        <u/>
        <sz val="9"/>
        <color indexed="15"/>
        <rFont val="Helvetica Neue Light"/>
      </rPr>
      <t>Cycling Through Depression</t>
    </r>
  </si>
  <si>
    <t>This book is the sad, painfull, heart rending, and in the end joyful story of the “redo” that my life became at 53.</t>
  </si>
  <si>
    <t>Springfield</t>
  </si>
  <si>
    <r>
      <rPr>
        <u/>
        <sz val="9"/>
        <color indexed="15"/>
        <rFont val="Helvetica Neue Light"/>
      </rPr>
      <t>And After All</t>
    </r>
  </si>
  <si>
    <t>Charlotte, a hip downtown New Yorker, is forced to revisit her small town roots while she deals with the sudden death of her mother.</t>
  </si>
  <si>
    <t>Chester</t>
  </si>
  <si>
    <t>Film &amp; Television</t>
  </si>
  <si>
    <r>
      <rPr>
        <u/>
        <sz val="9"/>
        <color indexed="15"/>
        <rFont val="Helvetica Neue Light"/>
      </rPr>
      <t>A Lifetime of Vermont People</t>
    </r>
  </si>
  <si>
    <t>Total Funding Allocated</t>
    <phoneticPr fontId="9" type="noConversion"/>
  </si>
  <si>
    <t>Art</t>
    <phoneticPr fontId="9" type="noConversion"/>
  </si>
  <si>
    <t>Hardwick</t>
    <phoneticPr fontId="9" type="noConversion"/>
  </si>
  <si>
    <t>Rupert</t>
    <phoneticPr fontId="9" type="noConversion"/>
  </si>
  <si>
    <t>Manchester</t>
    <phoneticPr fontId="9" type="noConversion"/>
  </si>
  <si>
    <t>St. Johnsbury</t>
    <phoneticPr fontId="9" type="noConversion"/>
  </si>
  <si>
    <t>Waterbury</t>
    <phoneticPr fontId="9" type="noConversion"/>
  </si>
  <si>
    <t>Hinesburg</t>
    <phoneticPr fontId="9" type="noConversion"/>
  </si>
  <si>
    <t>Underhill</t>
    <phoneticPr fontId="9" type="noConversion"/>
  </si>
  <si>
    <t>South Royalton</t>
    <phoneticPr fontId="9" type="noConversion"/>
  </si>
  <si>
    <t>Tinmouth</t>
    <phoneticPr fontId="9" type="noConversion"/>
  </si>
  <si>
    <t>West Topsham</t>
    <phoneticPr fontId="9" type="noConversion"/>
  </si>
  <si>
    <t>Morrisville</t>
    <phoneticPr fontId="9" type="noConversion"/>
  </si>
  <si>
    <t>Manchester</t>
    <phoneticPr fontId="9" type="noConversion"/>
  </si>
  <si>
    <t>Turnbridge</t>
    <phoneticPr fontId="9" type="noConversion"/>
  </si>
  <si>
    <t>Food</t>
    <phoneticPr fontId="9" type="noConversion"/>
  </si>
  <si>
    <t>Design</t>
    <phoneticPr fontId="9" type="noConversion"/>
  </si>
  <si>
    <t>Publishing</t>
    <phoneticPr fontId="9" type="noConversion"/>
  </si>
  <si>
    <t>Geographic Breakdown of Categories of Interest</t>
    <phoneticPr fontId="9" type="noConversion"/>
  </si>
  <si>
    <t>Kickstarter</t>
    <phoneticPr fontId="9" type="noConversion"/>
  </si>
  <si>
    <t>Total Funding Sought Through Kickstarter</t>
    <phoneticPr fontId="9" type="noConversion"/>
  </si>
  <si>
    <t>Total Pledges Made Through Kickstarter</t>
    <phoneticPr fontId="9" type="noConversion"/>
  </si>
  <si>
    <t>60&lt;70</t>
    <phoneticPr fontId="9" type="noConversion"/>
  </si>
  <si>
    <t>70&lt;80</t>
    <phoneticPr fontId="9" type="noConversion"/>
  </si>
  <si>
    <t>80&lt;90</t>
    <phoneticPr fontId="9" type="noConversion"/>
  </si>
  <si>
    <t>90&lt;100</t>
    <phoneticPr fontId="9" type="noConversion"/>
  </si>
  <si>
    <t>100&lt;110</t>
    <phoneticPr fontId="9" type="noConversion"/>
  </si>
  <si>
    <t>110&lt;120</t>
    <phoneticPr fontId="9" type="noConversion"/>
  </si>
  <si>
    <t>120&lt;130</t>
    <phoneticPr fontId="9" type="noConversion"/>
  </si>
  <si>
    <t>130&lt;140</t>
    <phoneticPr fontId="9" type="noConversion"/>
  </si>
  <si>
    <t>140&lt;150</t>
    <phoneticPr fontId="9" type="noConversion"/>
  </si>
  <si>
    <t>150&lt;160</t>
    <phoneticPr fontId="9" type="noConversion"/>
  </si>
  <si>
    <t>160&lt;170</t>
    <phoneticPr fontId="9" type="noConversion"/>
  </si>
  <si>
    <t>170&lt;180</t>
    <phoneticPr fontId="9" type="noConversion"/>
  </si>
  <si>
    <t>180&lt;190</t>
    <phoneticPr fontId="9" type="noConversion"/>
  </si>
  <si>
    <t>190&lt;200</t>
    <phoneticPr fontId="9" type="noConversion"/>
  </si>
  <si>
    <t>200&lt;210</t>
    <phoneticPr fontId="9" type="noConversion"/>
  </si>
  <si>
    <t>210&lt;220</t>
    <phoneticPr fontId="9" type="noConversion"/>
  </si>
  <si>
    <t>220&lt;230</t>
    <phoneticPr fontId="9" type="noConversion"/>
  </si>
  <si>
    <t>230&lt;240</t>
    <phoneticPr fontId="9" type="noConversion"/>
  </si>
  <si>
    <t>Blues</t>
  </si>
  <si>
    <t>I'm making a short documentary on an island community in Western Kenya, focusing on my experiences at a local bicycle project.</t>
  </si>
  <si>
    <r>
      <rPr>
        <u/>
        <sz val="9"/>
        <color indexed="15"/>
        <rFont val="Helvetica Neue Light"/>
      </rPr>
      <t>3D print shops in Vermont, and soon near YOU!</t>
    </r>
  </si>
  <si>
    <t xml:space="preserve">We aim to create beautiful carved signs and the first books ever printed in some of the endangered indigenous languages in </t>
    <phoneticPr fontId="9" type="noConversion"/>
  </si>
  <si>
    <t>The Sweet Remains record their sophomore studio album!</t>
    <phoneticPr fontId="9" type="noConversion"/>
  </si>
  <si>
    <t>The Moreau Horrors is an original musical adaptation of the HG Wells' Sci-Fi classic The Island of Dr. Moreau. Oh, and puppets!</t>
  </si>
  <si>
    <t>Puppets</t>
  </si>
  <si>
    <r>
      <rPr>
        <u/>
        <sz val="9"/>
        <color indexed="15"/>
        <rFont val="Helvetica Neue Light"/>
      </rPr>
      <t>Archer Mayor's The Lost Case Files</t>
    </r>
  </si>
  <si>
    <t>An episodic adventure mystery game based on realistic police procedure in the gritty style of bestselling author Archer Mayor</t>
  </si>
  <si>
    <t>Mystery</t>
  </si>
  <si>
    <r>
      <rPr>
        <u/>
        <sz val="9"/>
        <color indexed="15"/>
        <rFont val="Helvetica Neue Light"/>
      </rPr>
      <t>Sabra Field: Printmaker</t>
    </r>
    <r>
      <rPr>
        <sz val="9"/>
        <color indexed="8"/>
        <rFont val="Helvetica Neue Light"/>
      </rPr>
      <t xml:space="preserve">
</t>
    </r>
    <r>
      <rPr>
        <u/>
        <sz val="9"/>
        <color indexed="13"/>
        <rFont val="Helvetica Neue Light"/>
      </rPr>
      <t/>
    </r>
  </si>
  <si>
    <t>Sabra Field's been making prints of Vermont (and other places) since the 60s. This documentary film is about her and her range of work.</t>
  </si>
  <si>
    <t>West Windsor</t>
  </si>
  <si>
    <r>
      <rPr>
        <u/>
        <sz val="9"/>
        <color indexed="15"/>
        <rFont val="Helvetica Neue Light"/>
      </rPr>
      <t>Caroline Rose and Jer Coons Make A Record!</t>
    </r>
  </si>
  <si>
    <t>Adding a new life, an adopted daughter, to the family, Mark discovered a life he never really knew after all - his. This is that story.</t>
  </si>
  <si>
    <t>South Burlington</t>
  </si>
  <si>
    <r>
      <rPr>
        <u/>
        <sz val="9"/>
        <color indexed="15"/>
        <rFont val="Helvetica Neue Light"/>
      </rPr>
      <t>The Burlington Writers Workshop Anthology 2013</t>
    </r>
  </si>
  <si>
    <t>The Burlington Writers Workshop seeks funding to publish an anthology of fiction, nonfiction and poetry by local writers.</t>
  </si>
  <si>
    <t>Periodical</t>
  </si>
  <si>
    <r>
      <rPr>
        <u/>
        <sz val="9"/>
        <color indexed="15"/>
        <rFont val="Helvetica Neue Light"/>
      </rPr>
      <t>Legend of Dungeon</t>
    </r>
  </si>
  <si>
    <t>Legend of Dungeon is a 4 Player Co-Op Roguelike-like Beat'em'up with dynamic lighting on awesome pixel art.</t>
  </si>
  <si>
    <t>South Royalton</t>
  </si>
  <si>
    <r>
      <rPr>
        <u/>
        <sz val="9"/>
        <color indexed="15"/>
        <rFont val="Helvetica Neue Light"/>
      </rPr>
      <t>FLXIT BABY !!</t>
    </r>
  </si>
  <si>
    <t>FLXIT is a brand new sculptural toy!! Check out this fascinating back to basics toy developed in Vermont and made in the USA.</t>
  </si>
  <si>
    <t>Underhill</t>
  </si>
  <si>
    <t>Design</t>
  </si>
  <si>
    <r>
      <rPr>
        <u/>
        <sz val="9"/>
        <color indexed="15"/>
        <rFont val="Helvetica Neue Light"/>
      </rPr>
      <t>Dark Legacy</t>
    </r>
  </si>
  <si>
    <t>Dark Legacy is a short film well in to the production that needs a little help to make it to the finish line.</t>
  </si>
  <si>
    <r>
      <rPr>
        <u/>
        <sz val="9"/>
        <color indexed="15"/>
        <rFont val="Helvetica Neue Light"/>
      </rPr>
      <t>Pure Maple Products - Let's Work to Save Maple Production!</t>
    </r>
    <r>
      <rPr>
        <sz val="9"/>
        <color indexed="8"/>
        <rFont val="Helvetica Neue Light"/>
      </rPr>
      <t xml:space="preserve">
</t>
    </r>
    <r>
      <rPr>
        <u/>
        <sz val="9"/>
        <color indexed="13"/>
        <rFont val="Helvetica Neue Light"/>
      </rPr>
      <t/>
    </r>
  </si>
  <si>
    <t>Category</t>
    <phoneticPr fontId="9" type="noConversion"/>
  </si>
  <si>
    <t xml:space="preserve">Publishing </t>
    <phoneticPr fontId="9" type="noConversion"/>
  </si>
  <si>
    <t>Music</t>
    <phoneticPr fontId="9" type="noConversion"/>
  </si>
  <si>
    <t>Performance</t>
    <phoneticPr fontId="9" type="noConversion"/>
  </si>
  <si>
    <t>Game</t>
    <phoneticPr fontId="9" type="noConversion"/>
  </si>
  <si>
    <t>I will be spending 4 weeks at the Vermont Studio Center working on a series of embroidered landscape photographs and wool sculptures.</t>
  </si>
  <si>
    <r>
      <rPr>
        <u/>
        <sz val="9"/>
        <color indexed="15"/>
        <rFont val="Helvetica Neue Light"/>
      </rPr>
      <t>Voices of Montpelier</t>
    </r>
  </si>
  <si>
    <t>Children’s book</t>
  </si>
  <si>
    <r>
      <rPr>
        <u/>
        <sz val="9"/>
        <color indexed="15"/>
        <rFont val="Helvetica Neue Light"/>
      </rPr>
      <t>Morganne Wakefield: Vermont Studio Center Residency</t>
    </r>
  </si>
  <si>
    <t>The Gleanery is a restaurant project to gather and celebrate the handmade life. It is where the sensibly splendid share art and food.</t>
  </si>
  <si>
    <r>
      <rPr>
        <u/>
        <sz val="9"/>
        <color indexed="15"/>
        <rFont val="Helvetica Neue Light"/>
      </rPr>
      <t xml:space="preserve">"Way Up In Vermont" Second Album </t>
    </r>
  </si>
  <si>
    <t>This album of original music has a rich variety of folk, jazz, and gospel with a stellar line-up of Vermont musicians!</t>
  </si>
  <si>
    <r>
      <rPr>
        <u/>
        <sz val="9"/>
        <color indexed="15"/>
        <rFont val="Helvetica Neue Light"/>
      </rPr>
      <t>Laurie Trok : Artist Residency at Vermont Studio Center</t>
    </r>
    <r>
      <rPr>
        <sz val="9"/>
        <color indexed="8"/>
        <rFont val="Helvetica Neue Light"/>
      </rPr>
      <t xml:space="preserve">
</t>
    </r>
    <r>
      <rPr>
        <u/>
        <sz val="9"/>
        <color indexed="13"/>
        <rFont val="Helvetica Neue Light"/>
      </rPr>
      <t/>
    </r>
  </si>
  <si>
    <t>I've been awarded a residency at the Vermont Studio Center this September. This is a professional milestone and a great opportunity.</t>
  </si>
  <si>
    <r>
      <rPr>
        <u/>
        <sz val="9"/>
        <color indexed="15"/>
        <rFont val="Helvetica Neue Light"/>
      </rPr>
      <t>DeceptiveCadence~an international thriller, an unlikely</t>
    </r>
    <r>
      <rPr>
        <sz val="9"/>
        <color indexed="8"/>
        <rFont val="Helvetica Neue Light"/>
      </rPr>
      <t xml:space="preserve">
</t>
    </r>
    <r>
      <rPr>
        <u/>
        <sz val="9"/>
        <color indexed="13"/>
        <rFont val="Helvetica Neue Light"/>
      </rPr>
      <t/>
    </r>
  </si>
  <si>
    <t>MI6 has recruited its most unlikely agent - an Irish musician sent to India to capture the man who ruined his career: his own brother.</t>
  </si>
  <si>
    <r>
      <rPr>
        <u/>
        <sz val="9"/>
        <color indexed="15"/>
        <rFont val="Helvetica Neue Light"/>
      </rPr>
      <t>Rescue the Big Picture Movie Theater</t>
    </r>
    <r>
      <rPr>
        <sz val="9"/>
        <color indexed="8"/>
        <rFont val="Helvetica Neue Light"/>
      </rPr>
      <t xml:space="preserve">
</t>
    </r>
    <r>
      <rPr>
        <u/>
        <sz val="9"/>
        <color indexed="13"/>
        <rFont val="Helvetica Neue Light"/>
      </rPr>
      <t/>
    </r>
  </si>
  <si>
    <t>A bold glimpse of the rural people who gave Vermont its character as documented over 60 years by the photographer-writer Peter Miller.</t>
  </si>
  <si>
    <t>Waterbury</t>
  </si>
  <si>
    <t>Help us reach the $10,000 bench mark in the last week. Become part of this incredible story.</t>
    <phoneticPr fontId="9" type="noConversion"/>
  </si>
  <si>
    <t>The Everyday Hero</t>
    <phoneticPr fontId="9" type="noConversion"/>
  </si>
  <si>
    <t>A disgraced computer programmer finds himself the center of a conspiracy when an anonymous letter arrives at his front door.</t>
    <phoneticPr fontId="9" type="noConversion"/>
  </si>
  <si>
    <t>Print Release of Mr Blank</t>
    <phoneticPr fontId="9" type="noConversion"/>
  </si>
  <si>
    <t>Every conspiracy needs a guy like me. Too bad every conspiracy has one...me. And now someone wants me dead.</t>
    <phoneticPr fontId="9" type="noConversion"/>
  </si>
  <si>
    <t>A story told between both a card game and a novel that explores a plot to assassinate the king.</t>
    <phoneticPr fontId="9" type="noConversion"/>
  </si>
  <si>
    <t>Burlington</t>
    <phoneticPr fontId="9" type="noConversion"/>
  </si>
  <si>
    <t>Jan 17th, 2013</t>
    <phoneticPr fontId="9" type="noConversion"/>
  </si>
  <si>
    <t>Tabletop Games</t>
    <phoneticPr fontId="9" type="noConversion"/>
  </si>
  <si>
    <t>Endangered Alphabets II: Saving Languages In Bangladesh</t>
    <phoneticPr fontId="9" type="noConversion"/>
  </si>
  <si>
    <t xml:space="preserve">This winter I’ll be heading to Memphis to record an album at Royal Recording Studio, featuring time-honored and future soul classics!
</t>
  </si>
  <si>
    <t>Maple</t>
  </si>
  <si>
    <r>
      <rPr>
        <u/>
        <sz val="9"/>
        <color indexed="15"/>
        <rFont val="Helvetica Neue Light"/>
      </rPr>
      <t>Sunrise</t>
    </r>
  </si>
  <si>
    <t>Loveful Heights has a new album!</t>
  </si>
  <si>
    <r>
      <rPr>
        <u/>
        <sz val="9"/>
        <color indexed="15"/>
        <rFont val="Helvetica Neue Light"/>
      </rPr>
      <t>Moreau Horrors</t>
    </r>
  </si>
  <si>
    <r>
      <rPr>
        <u/>
        <sz val="9"/>
        <color indexed="15"/>
        <rFont val="Helvetica Neue Light"/>
      </rPr>
      <t>Print Release of The Spark</t>
    </r>
    <r>
      <rPr>
        <sz val="9"/>
        <color indexed="8"/>
        <rFont val="Helvetica Neue Light"/>
      </rPr>
      <t xml:space="preserve">
</t>
    </r>
    <r>
      <rPr>
        <u/>
        <sz val="9"/>
        <color indexed="13"/>
        <rFont val="Helvetica Neue Light"/>
      </rPr>
      <t/>
    </r>
  </si>
  <si>
    <t>The first community engagement effort for the world's first 3D print shop company.</t>
  </si>
  <si>
    <t>3D printing</t>
  </si>
  <si>
    <r>
      <rPr>
        <u/>
        <sz val="9"/>
        <color indexed="15"/>
        <rFont val="Helvetica Neue Light"/>
      </rPr>
      <t>Loveful Heights CD Release</t>
    </r>
  </si>
  <si>
    <t>Anna Showers-Cruser will make a new body of work at Vermont Studio Center this winter. Help bring this project to life!</t>
  </si>
  <si>
    <r>
      <rPr>
        <u/>
        <sz val="9"/>
        <color indexed="15"/>
        <rFont val="Helvetica Neue Light"/>
      </rPr>
      <t>Matt Townsend's First Record!</t>
    </r>
    <r>
      <rPr>
        <sz val="9"/>
        <color indexed="8"/>
        <rFont val="Helvetica Neue Light"/>
      </rPr>
      <t xml:space="preserve">
</t>
    </r>
    <r>
      <rPr>
        <u/>
        <sz val="9"/>
        <color indexed="13"/>
        <rFont val="Helvetica Neue Light"/>
      </rPr>
      <t/>
    </r>
  </si>
  <si>
    <t>Looking to make First full length album. i.e. full band and good production quality. 8 or 9 songs full cover art.</t>
  </si>
  <si>
    <r>
      <rPr>
        <u/>
        <sz val="9"/>
        <color indexed="15"/>
        <rFont val="Helvetica Neue Light"/>
      </rPr>
      <t>Print Release of Broken</t>
    </r>
  </si>
  <si>
    <t>Can a shattered superhero save humanity's best hope for a better tomorrow? Pre-order Broken by Susan Jane Bigelow to find out!</t>
  </si>
  <si>
    <r>
      <rPr>
        <u/>
        <sz val="9"/>
        <color indexed="15"/>
        <rFont val="Helvetica Neue Light"/>
      </rPr>
      <t>Queen City Dry Goods Waxed Canvas Racer Jacket Launch</t>
    </r>
  </si>
  <si>
    <t>Burlington Vermont start-up QUEEN CITY DRY GOODS launches the WAXED CANVAS RACER JACKET. Handmade in Vermont.</t>
  </si>
  <si>
    <t>Fashion</t>
  </si>
  <si>
    <t>Jackets</t>
  </si>
  <si>
    <t>Leather</t>
  </si>
  <si>
    <t>Launch "America Religious," the new album by Caroline Rose and Jer Coons. Be a part of the journey and get them on the road!</t>
  </si>
  <si>
    <r>
      <rPr>
        <u/>
        <sz val="9"/>
        <color indexed="15"/>
        <rFont val="Helvetica Neue Light"/>
      </rPr>
      <t>Tuberville The Series</t>
    </r>
    <r>
      <rPr>
        <sz val="9"/>
        <color indexed="8"/>
        <rFont val="Helvetica Neue Light"/>
      </rPr>
      <t xml:space="preserve">
</t>
    </r>
    <r>
      <rPr>
        <u/>
        <sz val="9"/>
        <color indexed="13"/>
        <rFont val="Helvetica Neue Light"/>
      </rPr>
      <t/>
    </r>
  </si>
  <si>
    <t>New Haven</t>
  </si>
  <si>
    <r>
      <rPr>
        <u/>
        <sz val="9"/>
        <color indexed="15"/>
        <rFont val="Helvetica Neue Light"/>
      </rPr>
      <t>Joe Adler records debut studio album</t>
    </r>
  </si>
  <si>
    <t>Recording my debut studio album with some of Burlington, Vermont's finest musicians.</t>
  </si>
  <si>
    <r>
      <rPr>
        <u/>
        <sz val="9"/>
        <color indexed="15"/>
        <rFont val="Helvetica Neue Light"/>
      </rPr>
      <t>Wyoming Territory: A new solo album from Kristina Stykos</t>
    </r>
  </si>
  <si>
    <t># of Projects</t>
    <phoneticPr fontId="9" type="noConversion"/>
  </si>
  <si>
    <t>Film &amp; Television</t>
    <phoneticPr fontId="9" type="noConversion"/>
  </si>
  <si>
    <t>Art</t>
    <phoneticPr fontId="9" type="noConversion"/>
  </si>
  <si>
    <t>Food</t>
    <phoneticPr fontId="9" type="noConversion"/>
  </si>
  <si>
    <t>Game</t>
    <phoneticPr fontId="9" type="noConversion"/>
  </si>
  <si>
    <t>Design</t>
    <phoneticPr fontId="9" type="noConversion"/>
  </si>
  <si>
    <t>Average Funding Received</t>
    <phoneticPr fontId="9" type="noConversion"/>
  </si>
  <si>
    <t>Av</t>
    <phoneticPr fontId="9" type="noConversion"/>
  </si>
  <si>
    <t>Med</t>
    <phoneticPr fontId="9" type="noConversion"/>
  </si>
  <si>
    <t>Design</t>
    <phoneticPr fontId="9" type="noConversion"/>
  </si>
  <si>
    <t>Wooden powder snowboards handcrafted in Vermont. Upping the ante with a new recycled P-tex base.</t>
  </si>
  <si>
    <t>Rupert</t>
  </si>
  <si>
    <t>Snowboard</t>
  </si>
  <si>
    <r>
      <rPr>
        <u/>
        <sz val="9"/>
        <color indexed="15"/>
        <rFont val="Helvetica Neue Light"/>
      </rPr>
      <t>NEW!! Anne Riley: Vermont Studio Center</t>
    </r>
  </si>
  <si>
    <t>I am raising funding to spend a month at the Vermont Studio Center to work on a new series of Paintings, Drawings and Prints.</t>
  </si>
  <si>
    <r>
      <rPr>
        <u/>
        <sz val="9"/>
        <color indexed="15"/>
        <rFont val="Helvetica Neue Light"/>
      </rPr>
      <t>Ecce Bronies</t>
    </r>
  </si>
  <si>
    <t>Bennington</t>
    <phoneticPr fontId="9" type="noConversion"/>
  </si>
  <si>
    <t>Oct 9th, 2012</t>
    <phoneticPr fontId="9" type="noConversion"/>
  </si>
  <si>
    <t>Sally is going places, The Farm, The Mountains and in her New York Times bestseller, The Beach. Now Sally wants to visit New York.</t>
  </si>
  <si>
    <t>St Johnsbury</t>
  </si>
  <si>
    <t>A historic live-action Roman film about friendship and sacrifice. Filmed in Vermont, by Vermonters.</t>
  </si>
  <si>
    <t>Northfield</t>
  </si>
  <si>
    <t>Action</t>
  </si>
  <si>
    <r>
      <rPr>
        <u/>
        <sz val="9"/>
        <color indexed="15"/>
        <rFont val="Helvetica Neue Light"/>
      </rPr>
      <t>The Gleanery</t>
    </r>
    <r>
      <rPr>
        <sz val="9"/>
        <color indexed="8"/>
        <rFont val="Helvetica Neue Light"/>
      </rPr>
      <t xml:space="preserve">
</t>
    </r>
    <r>
      <rPr>
        <u/>
        <sz val="9"/>
        <color indexed="13"/>
        <rFont val="Helvetica Neue Light"/>
      </rPr>
      <t/>
    </r>
  </si>
  <si>
    <t>Two family members working together to bring back a "sweet spot" in town after tropical storm Irene devastated our community.</t>
  </si>
  <si>
    <t>Cafe</t>
  </si>
  <si>
    <t>Recovery costs</t>
  </si>
  <si>
    <r>
      <rPr>
        <u/>
        <sz val="9"/>
        <color indexed="15"/>
        <rFont val="Helvetica Neue Light"/>
      </rPr>
      <t>Raising awareness about drug addiction in Vermont MUST READ!</t>
    </r>
  </si>
  <si>
    <t>A book "tell all" raising awareness in Vermont about drug addiction and and how it affects our small communitites.</t>
  </si>
  <si>
    <t>Nonfiction</t>
  </si>
  <si>
    <t>Non-fiction</t>
  </si>
  <si>
    <r>
      <rPr>
        <u/>
        <sz val="9"/>
        <color indexed="15"/>
        <rFont val="Helvetica Neue Light"/>
      </rPr>
      <t>Life Gives Me Lemons: Adventures in Bad Luck...</t>
    </r>
  </si>
  <si>
    <t>Life Gives Me Lemons: Adventures in Bad Luck &amp; Bold Misfortune chronicles the humorous mishaps of a female outdoor sports thrill-seeker</t>
  </si>
  <si>
    <r>
      <rPr>
        <u/>
        <sz val="9"/>
        <color indexed="15"/>
        <rFont val="Helvetica Neue Light"/>
      </rPr>
      <t>Full Brogue: An Alternative Americana Album Release</t>
    </r>
    <r>
      <rPr>
        <sz val="9"/>
        <color indexed="8"/>
        <rFont val="Helvetica Neue Light"/>
      </rPr>
      <t xml:space="preserve">
</t>
    </r>
    <r>
      <rPr>
        <u/>
        <sz val="9"/>
        <color indexed="13"/>
        <rFont val="Helvetica Neue Light"/>
      </rPr>
      <t/>
    </r>
  </si>
  <si>
    <t>The Big Picture Theater needs to upgrade its projection systems in order to survive as a movie theater and community space.</t>
  </si>
  <si>
    <r>
      <rPr>
        <u/>
        <sz val="9"/>
        <color indexed="15"/>
        <rFont val="Helvetica Neue Light"/>
      </rPr>
      <t>Hana Kornbluh's new album, Tatterhood</t>
    </r>
  </si>
  <si>
    <r>
      <rPr>
        <u/>
        <sz val="9"/>
        <color indexed="15"/>
        <rFont val="Helvetica Neue Light"/>
      </rPr>
      <t>DISCOVERING WALTER DORWIN TEAGUE: A</t>
    </r>
  </si>
  <si>
    <t>A series of paintings in response to discovering my grandfather, Walter Dorwin Teague, as an artist, whom I knew only as Grandpa.</t>
  </si>
  <si>
    <t>Westminster</t>
  </si>
  <si>
    <r>
      <rPr>
        <u/>
        <sz val="9"/>
        <color indexed="15"/>
        <rFont val="Helvetica Neue Light"/>
      </rPr>
      <t>Liz Lovely Cookies ~ Baking a Difference</t>
    </r>
  </si>
  <si>
    <t>All Natural, Vegan &amp; Gluten Free Cookies handcrafted in the Green Mountains of Vermont.</t>
  </si>
  <si>
    <r>
      <rPr>
        <u/>
        <sz val="9"/>
        <color indexed="15"/>
        <rFont val="Helvetica Neue Light"/>
      </rPr>
      <t>Dave Keller Goes to Memphis to Record a Modern Soul Classic!</t>
    </r>
  </si>
  <si>
    <t>I am hoping to attend an artist residency at the Vermont Studio Center to strengthen my studio practice and make amazing new art work.</t>
  </si>
  <si>
    <r>
      <rPr>
        <u/>
        <sz val="9"/>
        <color indexed="15"/>
        <rFont val="Helvetica Neue Light"/>
      </rPr>
      <t>Orkestriska's Box</t>
    </r>
  </si>
  <si>
    <t>Street Performance, Ballet, Opera, Stop-Frame Animation and Silent Acting portray the mythical life and dreams of a music box dancer.</t>
  </si>
  <si>
    <r>
      <rPr>
        <u/>
        <sz val="9"/>
        <color indexed="15"/>
        <rFont val="Helvetica Neue Light"/>
      </rPr>
      <t>Mfangano Bicycle Documentary</t>
    </r>
  </si>
  <si>
    <t>By sharing in Tonewood's kitchen project, you are helping to support small scale farming and the preservation of maple production.</t>
  </si>
  <si>
    <t>Gorf lives his life like any one of us. Unknown to him, he carries a power so dangerous, it blurs the lines of imagination and reality.</t>
  </si>
  <si>
    <t>Team up with us to launch this new short story collection into the literary stratosphere. Shape Conventional Wisdom. Change Lives.</t>
  </si>
  <si>
    <t>Marketing</t>
  </si>
  <si>
    <t>Short stories</t>
  </si>
  <si>
    <r>
      <rPr>
        <u/>
        <sz val="9"/>
        <color indexed="15"/>
        <rFont val="Helvetica Neue Light"/>
      </rPr>
      <t>Moving Forward And Coming Home</t>
    </r>
    <r>
      <rPr>
        <sz val="9"/>
        <color indexed="8"/>
        <rFont val="Helvetica Neue Light"/>
      </rPr>
      <t xml:space="preserve">
</t>
    </r>
    <r>
      <rPr>
        <u/>
        <sz val="9"/>
        <color indexed="13"/>
        <rFont val="Helvetica Neue Light"/>
      </rPr>
      <t/>
    </r>
  </si>
  <si>
    <t>The Cultivation of Creativity and the Spreading of Community.</t>
  </si>
  <si>
    <r>
      <rPr>
        <u/>
        <sz val="9"/>
        <color indexed="15"/>
        <rFont val="Helvetica Neue Light"/>
      </rPr>
      <t>May All Be</t>
    </r>
    <r>
      <rPr>
        <sz val="9"/>
        <color indexed="8"/>
        <rFont val="Helvetica Neue Light"/>
      </rPr>
      <t xml:space="preserve">
</t>
    </r>
    <r>
      <rPr>
        <u/>
        <sz val="9"/>
        <color indexed="13"/>
        <rFont val="Helvetica Neue Light"/>
      </rPr>
      <t/>
    </r>
  </si>
  <si>
    <t>May All Be is a compilation of traditional Sanskrit prayers &amp; invocations and that will have you levitating before you can say</t>
  </si>
  <si>
    <t>World</t>
  </si>
  <si>
    <r>
      <rPr>
        <u/>
        <sz val="9"/>
        <color indexed="15"/>
        <rFont val="Helvetica Neue Light"/>
      </rPr>
      <t>Vedora: Debut Album</t>
    </r>
  </si>
  <si>
    <t>A Rock project in Burlington, VT.</t>
  </si>
  <si>
    <r>
      <rPr>
        <u/>
        <sz val="9"/>
        <color indexed="15"/>
        <rFont val="Helvetica Neue Light"/>
      </rPr>
      <t>Vermont Peanut Butter...a better nut butter, "VTPB"</t>
    </r>
  </si>
  <si>
    <t>"We're Nutty about Nutrition" The most powerful and delicious nut butters on the planet.</t>
  </si>
  <si>
    <t>Morrisville</t>
  </si>
  <si>
    <r>
      <rPr>
        <u/>
        <sz val="9"/>
        <color indexed="15"/>
        <rFont val="Helvetica Neue Light"/>
      </rPr>
      <t>Vermont Studio Residency</t>
    </r>
  </si>
  <si>
    <t>Painting Residency at the Vermont Studio Center in early summer 2012.</t>
  </si>
  <si>
    <r>
      <rPr>
        <u/>
        <sz val="9"/>
        <color indexed="15"/>
        <rFont val="Helvetica Neue Light"/>
      </rPr>
      <t>The Bright Wings Chorus is headed back to the studio!</t>
    </r>
    <r>
      <rPr>
        <sz val="9"/>
        <color indexed="8"/>
        <rFont val="Helvetica Neue Light"/>
      </rPr>
      <t xml:space="preserve">
</t>
    </r>
    <r>
      <rPr>
        <u/>
        <sz val="9"/>
        <color indexed="13"/>
        <rFont val="Helvetica Neue Light"/>
      </rPr>
      <t/>
    </r>
  </si>
  <si>
    <t>The Bright Wings gang is going to record their second album this fall: more great harmony and an exciting batch of new songs.</t>
  </si>
  <si>
    <t>A musical journey through some of the exquisite &amp; harsh landscapes of the American west and of the heart.</t>
  </si>
  <si>
    <t>Chelsea</t>
  </si>
  <si>
    <t>Masquerade</t>
    <phoneticPr fontId="9" type="noConversion"/>
  </si>
  <si>
    <r>
      <rPr>
        <u/>
        <sz val="9"/>
        <color indexed="15"/>
        <rFont val="Helvetica Neue Light"/>
      </rPr>
      <t>Fragile Home: art looks at our vulnerable world</t>
    </r>
    <r>
      <rPr>
        <sz val="9"/>
        <color indexed="8"/>
        <rFont val="Helvetica Neue Light"/>
      </rPr>
      <t xml:space="preserve">
</t>
    </r>
    <r>
      <rPr>
        <u/>
        <sz val="9"/>
        <color indexed="13"/>
        <rFont val="Helvetica Neue Light"/>
      </rPr>
      <t/>
    </r>
  </si>
  <si>
    <t>An art exhibition catalog provides an overview of our fragile home, inspired by words astronauts use to describe the earth from space.</t>
  </si>
  <si>
    <t>Catalogue</t>
  </si>
  <si>
    <r>
      <rPr>
        <u/>
        <sz val="9"/>
        <color indexed="15"/>
        <rFont val="Helvetica Neue Light"/>
      </rPr>
      <t>PowderJet Snowboards - Do More With Less</t>
    </r>
  </si>
  <si>
    <t>Make a living by writing about video games? Hell yes! Break into the gaming industry with this detailed how-to guide for freelancers.</t>
  </si>
  <si>
    <t>Guide</t>
  </si>
  <si>
    <r>
      <rPr>
        <u/>
        <sz val="9"/>
        <color indexed="15"/>
        <rFont val="Helvetica Neue Light"/>
      </rPr>
      <t>CHEESE WONDERLAND! A shop, cafe, and food education</t>
    </r>
    <r>
      <rPr>
        <sz val="9"/>
        <color indexed="8"/>
        <rFont val="Helvetica Neue Light"/>
      </rPr>
      <t xml:space="preserve">
</t>
    </r>
    <r>
      <rPr>
        <u/>
        <sz val="9"/>
        <color indexed="13"/>
        <rFont val="Helvetica Neue Light"/>
      </rPr>
      <t/>
    </r>
  </si>
  <si>
    <t>Finally! A place where you can eat cheese and learn about it, too! Coming soon to a lovely New England downtown.</t>
  </si>
  <si>
    <t>Cheese</t>
  </si>
  <si>
    <r>
      <rPr>
        <u/>
        <sz val="9"/>
        <color indexed="15"/>
        <rFont val="Helvetica Neue Light"/>
      </rPr>
      <t>New work: Vermont Studio Center 2012</t>
    </r>
  </si>
  <si>
    <t>Join with us to bring these bestselling Russian historical espionage thrillers (Stieg Larsson meets Umberto Eco) into English.</t>
  </si>
  <si>
    <r>
      <rPr>
        <u/>
        <sz val="9"/>
        <color indexed="15"/>
        <rFont val="Helvetica Neue Light"/>
      </rPr>
      <t>Butcher Shop at Sugar Mountain Farm - Pastured Pigs</t>
    </r>
  </si>
  <si>
    <t>Enjoy naturally raised Vermont pastured pork, sausages and charcuterie from our butcher shop on-farm shipped to your home.</t>
  </si>
  <si>
    <t>West Topsham</t>
  </si>
  <si>
    <t>Meat</t>
  </si>
  <si>
    <r>
      <rPr>
        <u/>
        <sz val="9"/>
        <color indexed="15"/>
        <rFont val="Helvetica Neue Light"/>
      </rPr>
      <t>Grey: The Lost Technology</t>
    </r>
    <r>
      <rPr>
        <sz val="9"/>
        <color indexed="8"/>
        <rFont val="Helvetica Neue Light"/>
      </rPr>
      <t xml:space="preserve">
</t>
    </r>
    <r>
      <rPr>
        <u/>
        <sz val="9"/>
        <color indexed="13"/>
        <rFont val="Helvetica Neue Light"/>
      </rPr>
      <t/>
    </r>
  </si>
  <si>
    <t>Grey: The Lost Technology is Team Aurora's first project! It's going to be an action adventure zelda-styled RPG on the Xbox 360 and PC!</t>
  </si>
  <si>
    <t>Adventure RPG</t>
  </si>
  <si>
    <r>
      <rPr>
        <u/>
        <sz val="9"/>
        <color indexed="15"/>
        <rFont val="Helvetica Neue Light"/>
      </rPr>
      <t>Colorquilts wooden jigsaw puzzle #2</t>
    </r>
    <r>
      <rPr>
        <sz val="9"/>
        <color indexed="8"/>
        <rFont val="Helvetica Neue Light"/>
      </rPr>
      <t xml:space="preserve">
</t>
    </r>
    <r>
      <rPr>
        <u/>
        <sz val="9"/>
        <color indexed="13"/>
        <rFont val="Helvetica Neue Light"/>
      </rPr>
      <t/>
    </r>
  </si>
  <si>
    <t>A new wooden jigsaw puzzle using an image of my fabric art. Over 400 small pieces, including lots of whimsies!</t>
  </si>
  <si>
    <r>
      <rPr>
        <u/>
        <sz val="9"/>
        <color indexed="15"/>
        <rFont val="Helvetica Neue Light"/>
      </rPr>
      <t>The Pursuit: A Global Quest for Happiness</t>
    </r>
    <r>
      <rPr>
        <sz val="9"/>
        <color indexed="8"/>
        <rFont val="Helvetica Neue Light"/>
      </rPr>
      <t xml:space="preserve">
</t>
    </r>
    <r>
      <rPr>
        <u/>
        <sz val="9"/>
        <color indexed="13"/>
        <rFont val="Helvetica Neue Light"/>
      </rPr>
      <t/>
    </r>
  </si>
  <si>
    <t>A documentary to explore the the fundamental nature of what it is to be happy- a search for not only answers, but solutions.</t>
  </si>
  <si>
    <r>
      <rPr>
        <u/>
        <sz val="9"/>
        <color indexed="15"/>
        <rFont val="Helvetica Neue Light"/>
      </rPr>
      <t>Barn Again ~ Vermont's Another Button Farm</t>
    </r>
  </si>
  <si>
    <t>Original music mixing genres across an American landscape, this album cries to be finished and heard! We thank you!</t>
  </si>
  <si>
    <r>
      <rPr>
        <u/>
        <sz val="9"/>
        <color indexed="15"/>
        <rFont val="Helvetica Neue Light"/>
      </rPr>
      <t>Al Ducci di Notte - a neighborhood trattoria</t>
    </r>
    <r>
      <rPr>
        <sz val="9"/>
        <color indexed="8"/>
        <rFont val="Helvetica Neue Light"/>
      </rPr>
      <t xml:space="preserve">
</t>
    </r>
    <r>
      <rPr>
        <u/>
        <sz val="9"/>
        <color indexed="13"/>
        <rFont val="Helvetica Neue Light"/>
      </rPr>
      <t/>
    </r>
  </si>
  <si>
    <t>Presentation</t>
  </si>
  <si>
    <t>Capital costs</t>
  </si>
  <si>
    <r>
      <rPr>
        <u/>
        <sz val="9"/>
        <color indexed="15"/>
        <rFont val="Helvetica Neue Light"/>
      </rPr>
      <t>THE DRAWING WATER PROJECT</t>
    </r>
  </si>
  <si>
    <t>Tatterhood is a song i wrote for my dad, and the title track of my dream album. 15 new songs straight from the heart.</t>
  </si>
  <si>
    <r>
      <rPr>
        <u/>
        <sz val="9"/>
        <color indexed="15"/>
        <rFont val="Helvetica Neue Light"/>
      </rPr>
      <t>Philosophy of Oneness: Essays, substance, and reflection</t>
    </r>
  </si>
  <si>
    <t>Unleash the non-mystical that exists beyond rational consciousness and beckons us one perception, one story at a time.</t>
  </si>
  <si>
    <t>Hinesburg</t>
  </si>
  <si>
    <r>
      <rPr>
        <u/>
        <sz val="9"/>
        <color indexed="15"/>
        <rFont val="Helvetica Neue Light"/>
      </rPr>
      <t>Send Kelly to Vermont to Make Incredible Art!</t>
    </r>
    <r>
      <rPr>
        <sz val="9"/>
        <color indexed="8"/>
        <rFont val="Helvetica Neue Light"/>
      </rPr>
      <t xml:space="preserve">
</t>
    </r>
    <r>
      <rPr>
        <u/>
        <sz val="9"/>
        <color indexed="13"/>
        <rFont val="Helvetica Neue Light"/>
      </rPr>
      <t/>
    </r>
  </si>
  <si>
    <r>
      <rPr>
        <u/>
        <sz val="9"/>
        <color indexed="15"/>
        <rFont val="Helvetica Neue Light"/>
      </rPr>
      <t>American Swag</t>
    </r>
  </si>
  <si>
    <t>In this TV pilot, Danny struggles to reconcile his dreams of hip-hop stardom with the realities of a blue-collar life in rural Vermont.</t>
  </si>
  <si>
    <r>
      <rPr>
        <u/>
        <sz val="9"/>
        <color indexed="15"/>
        <rFont val="Helvetica Neue Light"/>
      </rPr>
      <t>Gorf: The Movie</t>
    </r>
  </si>
  <si>
    <t>Take a journey through an England tinged by magic and horror, where a class reunion can turn deadly and a found egg can hatch wonder.</t>
  </si>
  <si>
    <t>Dee could set the world on fire. All she needs is a spark...</t>
  </si>
  <si>
    <r>
      <rPr>
        <u/>
        <sz val="9"/>
        <color indexed="15"/>
        <rFont val="Helvetica Neue Light"/>
      </rPr>
      <t>The Fable Farm Stage</t>
    </r>
    <r>
      <rPr>
        <sz val="9"/>
        <color indexed="8"/>
        <rFont val="Helvetica Neue Light"/>
      </rPr>
      <t xml:space="preserve">
</t>
    </r>
    <r>
      <rPr>
        <u/>
        <sz val="9"/>
        <color indexed="13"/>
        <rFont val="Helvetica Neue Light"/>
      </rPr>
      <t/>
    </r>
  </si>
  <si>
    <t>The creation of the Fable Farm Stage will be another step toward our goal of building community through art and agriculture.</t>
  </si>
  <si>
    <t>Building</t>
  </si>
  <si>
    <r>
      <rPr>
        <u/>
        <sz val="9"/>
        <color indexed="15"/>
        <rFont val="Helvetica Neue Light"/>
      </rPr>
      <t>The Body Queeries Project</t>
    </r>
  </si>
  <si>
    <t>Mexican food embodying the farm to table method using only local organic farmers and artisans. Keeping it fresh, local and organic.</t>
  </si>
  <si>
    <t>Expansion</t>
  </si>
  <si>
    <r>
      <rPr>
        <u/>
        <sz val="9"/>
        <color indexed="15"/>
        <rFont val="Helvetica Neue Light"/>
      </rPr>
      <t>Aura Tactics</t>
    </r>
  </si>
  <si>
    <t>An independently developed tactical RPG for mobile &amp; web, featuring class swapping and asynchronous multiplayer!</t>
  </si>
  <si>
    <r>
      <rPr>
        <u/>
        <sz val="9"/>
        <color indexed="15"/>
        <rFont val="Helvetica Neue Light"/>
      </rPr>
      <t>Opus 24 Student Composers</t>
    </r>
    <r>
      <rPr>
        <sz val="9"/>
        <color indexed="8"/>
        <rFont val="Helvetica Neue Light"/>
      </rPr>
      <t xml:space="preserve">
</t>
    </r>
    <r>
      <rPr>
        <u/>
        <sz val="9"/>
        <color indexed="13"/>
        <rFont val="Helvetica Neue Light"/>
      </rPr>
      <t/>
    </r>
  </si>
  <si>
    <t>Music-COMP is sponsoring a live performance of original student compositions performed by professional musicians.</t>
  </si>
  <si>
    <t>Ludlow</t>
  </si>
  <si>
    <t>Classical Music</t>
  </si>
  <si>
    <r>
      <rPr>
        <u/>
        <sz val="9"/>
        <color indexed="15"/>
        <rFont val="Helvetica Neue Light"/>
      </rPr>
      <t>BarnArts Center for the Arts</t>
    </r>
    <r>
      <rPr>
        <sz val="9"/>
        <color indexed="8"/>
        <rFont val="Helvetica Neue Light"/>
      </rPr>
      <t xml:space="preserve">
</t>
    </r>
    <r>
      <rPr>
        <u/>
        <sz val="9"/>
        <color indexed="13"/>
        <rFont val="Helvetica Neue Light"/>
      </rPr>
      <t/>
    </r>
  </si>
  <si>
    <t>A year round performance arts program utilizing local and national recognized artists, adults, and children in a rural community.</t>
  </si>
  <si>
    <t>Barnard</t>
  </si>
  <si>
    <t>Programming</t>
  </si>
  <si>
    <r>
      <rPr>
        <u/>
        <sz val="9"/>
        <color indexed="15"/>
        <rFont val="Helvetica Neue Light"/>
      </rPr>
      <t>Quench Artspace</t>
    </r>
  </si>
  <si>
    <r>
      <rPr>
        <u/>
        <sz val="9"/>
        <color indexed="15"/>
        <rFont val="Helvetica Neue Light"/>
      </rPr>
      <t>Bringing World Renowned Ridiculous Theater to Vermont</t>
    </r>
  </si>
  <si>
    <r>
      <rPr>
        <u/>
        <sz val="9"/>
        <color indexed="15"/>
        <rFont val="Helvetica Neue Light"/>
      </rPr>
      <t>Breathe life into the WE LOVE YOGA children's book series!</t>
    </r>
  </si>
  <si>
    <t>Tuberville is a short form web series that tells the story of a quirky group of farmers who live on a small New England potato farm.</t>
  </si>
  <si>
    <t>Webseries</t>
  </si>
  <si>
    <r>
      <rPr>
        <u/>
        <sz val="9"/>
        <color indexed="15"/>
        <rFont val="Helvetica Neue Light"/>
      </rPr>
      <t>Summit School Winter Folk Music Festival 2013</t>
    </r>
    <r>
      <rPr>
        <sz val="9"/>
        <color indexed="8"/>
        <rFont val="Helvetica Neue Light"/>
      </rPr>
      <t xml:space="preserve">
</t>
    </r>
    <r>
      <rPr>
        <u/>
        <sz val="9"/>
        <color indexed="13"/>
        <rFont val="Helvetica Neue Light"/>
      </rPr>
      <t/>
    </r>
  </si>
  <si>
    <t>The Summit School wants to raise money to bring nationally known musicians to the Winter Folk Music Festival.</t>
  </si>
  <si>
    <r>
      <rPr>
        <u/>
        <sz val="9"/>
        <color indexed="15"/>
        <rFont val="Helvetica Neue Light"/>
      </rPr>
      <t>Songs from the Vermont Skies</t>
    </r>
  </si>
  <si>
    <t>Songs of joy and serenity inspired by Nature.</t>
  </si>
  <si>
    <t>Peacham</t>
  </si>
  <si>
    <t>An adaptation of the 14th century poem, Sir Gawain and the Green Knight, The Green Knight is an indie retelling of the Arthurian tale.</t>
  </si>
  <si>
    <t>Film &amp; Video</t>
  </si>
  <si>
    <t>Drama</t>
  </si>
  <si>
    <r>
      <rPr>
        <u/>
        <sz val="9"/>
        <color indexed="15"/>
        <rFont val="Helvetica Neue Light"/>
      </rPr>
      <t>The Silk Road Trilogy</t>
    </r>
    <r>
      <rPr>
        <sz val="9"/>
        <color indexed="8"/>
        <rFont val="Helvetica Neue Light"/>
      </rPr>
      <t xml:space="preserve">
</t>
    </r>
    <r>
      <rPr>
        <u/>
        <sz val="9"/>
        <color indexed="13"/>
        <rFont val="Helvetica Neue Light"/>
      </rPr>
      <t/>
    </r>
  </si>
  <si>
    <r>
      <rPr>
        <u/>
        <sz val="9"/>
        <color indexed="15"/>
        <rFont val="Helvetica Neue Light"/>
      </rPr>
      <t>Marimba from 0-8 mallets: CD and vinyl album</t>
    </r>
  </si>
  <si>
    <t>Marimba artist Jane Boxall is recording an 0-8 mallet solo album in 2012.</t>
  </si>
  <si>
    <r>
      <rPr>
        <u/>
        <sz val="9"/>
        <color indexed="15"/>
        <rFont val="Helvetica Neue Light"/>
      </rPr>
      <t>Guerrilla Tour 2012: toni atari</t>
    </r>
    <r>
      <rPr>
        <sz val="9"/>
        <color indexed="8"/>
        <rFont val="Helvetica Neue Light"/>
      </rPr>
      <t xml:space="preserve">
</t>
    </r>
    <r>
      <rPr>
        <u/>
        <sz val="9"/>
        <color indexed="13"/>
        <rFont val="Helvetica Neue Light"/>
      </rPr>
      <t/>
    </r>
  </si>
  <si>
    <t>Translation</t>
  </si>
  <si>
    <t>Thriller</t>
  </si>
  <si>
    <r>
      <rPr>
        <u/>
        <sz val="9"/>
        <color indexed="15"/>
        <rFont val="Helvetica Neue Light"/>
      </rPr>
      <t>Steampunk-inspired Midsummer Night's Dream in Vermont!</t>
    </r>
    <r>
      <rPr>
        <sz val="9"/>
        <color indexed="8"/>
        <rFont val="Helvetica Neue Light"/>
      </rPr>
      <t xml:space="preserve">
</t>
    </r>
    <r>
      <rPr>
        <u/>
        <sz val="9"/>
        <color indexed="13"/>
        <rFont val="Helvetica Neue Light"/>
      </rPr>
      <t/>
    </r>
  </si>
  <si>
    <r>
      <rPr>
        <u/>
        <sz val="9"/>
        <color indexed="15"/>
        <rFont val="Helvetica Neue Light"/>
      </rPr>
      <t>Pirogi Union</t>
    </r>
    <r>
      <rPr>
        <sz val="9"/>
        <color indexed="8"/>
        <rFont val="Helvetica Neue Light"/>
      </rPr>
      <t xml:space="preserve">
</t>
    </r>
    <r>
      <rPr>
        <u/>
        <sz val="9"/>
        <color indexed="13"/>
        <rFont val="Helvetica Neue Light"/>
      </rPr>
      <t/>
    </r>
  </si>
  <si>
    <t>Buffoonery, bewitchment, and bustles abound in this steampunk-inspired production of Shakespeare's magical comedy.</t>
  </si>
  <si>
    <r>
      <rPr>
        <u/>
        <sz val="9"/>
        <color indexed="15"/>
        <rFont val="Helvetica Neue Light"/>
      </rPr>
      <t>The Sweet Spot</t>
    </r>
    <r>
      <rPr>
        <sz val="9"/>
        <color indexed="8"/>
        <rFont val="Helvetica Neue Light"/>
      </rPr>
      <t xml:space="preserve">
</t>
    </r>
    <r>
      <rPr>
        <u/>
        <sz val="9"/>
        <color indexed="13"/>
        <rFont val="Helvetica Neue Light"/>
      </rPr>
      <t/>
    </r>
  </si>
  <si>
    <t>Help us complete this album! We've got 11 tracks recorded and we just need to master and print cds before we share them with you.</t>
  </si>
  <si>
    <t>Poultney</t>
  </si>
  <si>
    <r>
      <rPr>
        <u/>
        <sz val="9"/>
        <color indexed="15"/>
        <rFont val="Helvetica Neue Light"/>
      </rPr>
      <t>Rachel Herzer's Artist Residency at Vermont Studio Center</t>
    </r>
    <r>
      <rPr>
        <sz val="9"/>
        <color indexed="8"/>
        <rFont val="Helvetica Neue Light"/>
      </rPr>
      <t xml:space="preserve">
</t>
    </r>
    <r>
      <rPr>
        <u/>
        <sz val="9"/>
        <color indexed="13"/>
        <rFont val="Helvetica Neue Light"/>
      </rPr>
      <t/>
    </r>
  </si>
  <si>
    <t>Help Rachel Castle Herzer attend a month-long artist residency and receive her art in return.</t>
  </si>
  <si>
    <r>
      <rPr>
        <u/>
        <sz val="9"/>
        <color indexed="15"/>
        <rFont val="Helvetica Neue Light"/>
      </rPr>
      <t>Functional Poetry</t>
    </r>
    <r>
      <rPr>
        <sz val="9"/>
        <color indexed="8"/>
        <rFont val="Helvetica Neue Light"/>
      </rPr>
      <t xml:space="preserve">
</t>
    </r>
    <r>
      <rPr>
        <u/>
        <sz val="9"/>
        <color indexed="13"/>
        <rFont val="Helvetica Neue Light"/>
      </rPr>
      <t/>
    </r>
  </si>
  <si>
    <t>This project combines photography, functional lighting, and poetry to bring poetry into the everyday lives of those who enjoy it.</t>
  </si>
  <si>
    <t>Conceptual Art</t>
  </si>
  <si>
    <r>
      <rPr>
        <u/>
        <sz val="9"/>
        <color indexed="15"/>
        <rFont val="Helvetica Neue Light"/>
      </rPr>
      <t>"Loc" - Can You Escape?</t>
    </r>
  </si>
  <si>
    <t>"Loc" is a puzzle game of "unlocking" gates to escape the clutches of the last faerie queen who wants you to pay for man's</t>
  </si>
  <si>
    <t>Strategy</t>
  </si>
  <si>
    <r>
      <rPr>
        <u/>
        <sz val="9"/>
        <color indexed="15"/>
        <rFont val="Helvetica Neue Light"/>
      </rPr>
      <t>IRiE Furniture</t>
    </r>
  </si>
  <si>
    <t>Al Ducci di Notte - a neighborhood trattoria on historic Elm St in Manchester, VT</t>
  </si>
  <si>
    <t>Restaurant</t>
  </si>
  <si>
    <t>THE DRAWING WATER PROJECT Film an artist hiking, sketching and painting the sites of the Vermont, Catskill &amp; Adirondack Mountains.</t>
  </si>
  <si>
    <t>Castleton</t>
  </si>
  <si>
    <r>
      <rPr>
        <u/>
        <sz val="9"/>
        <color indexed="15"/>
        <rFont val="Helvetica Neue Light"/>
      </rPr>
      <t>The Holdster Mason Jar Mug</t>
    </r>
  </si>
  <si>
    <t>The Holdster converts mason jars into sexy, leather-bound mugs. Your beverage has never looked so good.</t>
  </si>
  <si>
    <t>Kitchen</t>
  </si>
  <si>
    <t>Social Band is making a CD featuring specially-commissioned choral works combining the talents of Vermont's tunesmiths and wordsmiths.</t>
  </si>
  <si>
    <t>Vocal</t>
  </si>
  <si>
    <t>Mark Utter is creating a Film and Television about his communication obstacles that challenges us to embrace our different ways of being human.</t>
  </si>
  <si>
    <t>Short Film</t>
  </si>
  <si>
    <r>
      <rPr>
        <u/>
        <sz val="9"/>
        <color indexed="15"/>
        <rFont val="Helvetica Neue Light"/>
      </rPr>
      <t>Print Release of A Series of Ordinary Adventures</t>
    </r>
    <r>
      <rPr>
        <sz val="9"/>
        <color indexed="8"/>
        <rFont val="Helvetica Neue Light"/>
      </rPr>
      <t xml:space="preserve">
</t>
    </r>
    <r>
      <rPr>
        <u/>
        <sz val="9"/>
        <color indexed="13"/>
        <rFont val="Helvetica Neue Light"/>
      </rPr>
      <t/>
    </r>
  </si>
  <si>
    <t>I am attempting to aquire funding for my first solo album to be titled, "Waking Up the Echoes". This is for anyone holding onto a dream</t>
  </si>
  <si>
    <r>
      <rPr>
        <u/>
        <sz val="9"/>
        <color indexed="15"/>
        <rFont val="Helvetica Neue Light"/>
      </rPr>
      <t>Anna Pardenik's New Album</t>
    </r>
    <r>
      <rPr>
        <sz val="9"/>
        <color indexed="8"/>
        <rFont val="Helvetica Neue Light"/>
      </rPr>
      <t xml:space="preserve">
</t>
    </r>
    <r>
      <rPr>
        <u/>
        <sz val="9"/>
        <color indexed="13"/>
        <rFont val="Helvetica Neue Light"/>
      </rPr>
      <t/>
    </r>
  </si>
  <si>
    <r>
      <rPr>
        <u/>
        <sz val="9"/>
        <color indexed="15"/>
        <rFont val="Helvetica Neue Light"/>
      </rPr>
      <t>Help the Dirty Blondes "Sex the Elastic"</t>
    </r>
  </si>
  <si>
    <r>
      <rPr>
        <u/>
        <sz val="9"/>
        <color indexed="15"/>
        <rFont val="Helvetica Neue Light"/>
      </rPr>
      <t>Print Release of Pilgrim of the Sky</t>
    </r>
  </si>
  <si>
    <t>After twelve long years, the Blondes have finally made a CD. It's mixed, mastered and almost ready to be released upon the</t>
  </si>
  <si>
    <r>
      <rPr>
        <u/>
        <sz val="9"/>
        <color indexed="15"/>
        <rFont val="Helvetica Neue Light"/>
      </rPr>
      <t>Groom Vladimir's Mustache</t>
    </r>
    <r>
      <rPr>
        <sz val="9"/>
        <color indexed="8"/>
        <rFont val="Helvetica Neue Light"/>
      </rPr>
      <t xml:space="preserve">
</t>
    </r>
    <r>
      <rPr>
        <u/>
        <sz val="9"/>
        <color indexed="13"/>
        <rFont val="Helvetica Neue Light"/>
      </rPr>
      <t/>
    </r>
  </si>
  <si>
    <t>A lovingly crafted recording of ten original songs, produced at the off-grid Pepperbox Studio on the top of a mountain in Vermont.</t>
  </si>
  <si>
    <t>Roxbury</t>
  </si>
  <si>
    <r>
      <rPr>
        <u/>
        <sz val="9"/>
        <color indexed="15"/>
        <rFont val="Helvetica Neue Light"/>
      </rPr>
      <t>Help Kinky Creature Record an EP!</t>
    </r>
  </si>
  <si>
    <t>Help us work with producer Kyle Johnson to record an EP! Kyle has worked with Cymbals Eat Guitars, Modest Mouse and more!</t>
  </si>
  <si>
    <r>
      <rPr>
        <u/>
        <sz val="9"/>
        <color indexed="15"/>
        <rFont val="Helvetica Neue Light"/>
      </rPr>
      <t>Print Release of Fly Into Fire</t>
    </r>
  </si>
  <si>
    <t>The last Sky Ranger of the Extrahuman Union must fight to survive - and save his people - from a government that would</t>
  </si>
  <si>
    <r>
      <rPr>
        <u/>
        <sz val="9"/>
        <color indexed="15"/>
        <rFont val="Helvetica Neue Light"/>
      </rPr>
      <t>Rose and Los Cohorts EP Release-featuring local fame!</t>
    </r>
  </si>
  <si>
    <t>Simon Plumpton,Mark Ransom,Juliet McVicker,Amber DeLaurentis,Gene White,Bill Mullins,Starline Rhythm</t>
  </si>
  <si>
    <r>
      <rPr>
        <u/>
        <sz val="9"/>
        <color indexed="15"/>
        <rFont val="Helvetica Neue Light"/>
      </rPr>
      <t>100 hours of FREE music lessons</t>
    </r>
    <r>
      <rPr>
        <sz val="9"/>
        <color indexed="8"/>
        <rFont val="Helvetica Neue Light"/>
      </rPr>
      <t xml:space="preserve">
</t>
    </r>
    <r>
      <rPr>
        <u/>
        <sz val="9"/>
        <color indexed="13"/>
        <rFont val="Helvetica Neue Light"/>
      </rPr>
      <t/>
    </r>
  </si>
  <si>
    <t>Quench Artspace is a contemporary gallery and post-Hurricane Irene economic recovery project for Bridge Street, Waitsfield, Vermont.</t>
  </si>
  <si>
    <t>Waitsfield</t>
  </si>
  <si>
    <t>Exhibition</t>
  </si>
  <si>
    <t>Creative, powerful, and with a message: WE LOVE YOGA children's books created by Artist Tove Ohlander &amp; Yoga Teacher</t>
  </si>
  <si>
    <r>
      <rPr>
        <u/>
        <sz val="9"/>
        <color indexed="15"/>
        <rFont val="Helvetica Neue Light"/>
      </rPr>
      <t>A How-To Guide for Freelance Video Game Journalists</t>
    </r>
  </si>
  <si>
    <t>A month-long painting/sculpture project this October in Johnson, VT</t>
  </si>
  <si>
    <r>
      <rPr>
        <u/>
        <sz val="9"/>
        <color indexed="15"/>
        <rFont val="Helvetica Neue Light"/>
      </rPr>
      <t>Print Release of Green Light Delivery</t>
    </r>
    <r>
      <rPr>
        <sz val="9"/>
        <color indexed="8"/>
        <rFont val="Helvetica Neue Light"/>
      </rPr>
      <t xml:space="preserve">
</t>
    </r>
    <r>
      <rPr>
        <u/>
        <sz val="9"/>
        <color indexed="13"/>
        <rFont val="Helvetica Neue Light"/>
      </rPr>
      <t/>
    </r>
  </si>
  <si>
    <t>Psst, buddy, wanna buy a novel? It's got space aliens, mayhem, destruction, and one poor schlub just trying to make a buck.</t>
  </si>
  <si>
    <r>
      <rPr>
        <u/>
        <sz val="9"/>
        <color indexed="15"/>
        <rFont val="Helvetica Neue Light"/>
      </rPr>
      <t>The Green Knight</t>
    </r>
  </si>
  <si>
    <t>VT Artists Week was created in 1984 to support VT artists with an intensive week of studio work and fellowship with other VT Artists.</t>
  </si>
  <si>
    <r>
      <rPr>
        <u/>
        <sz val="9"/>
        <color indexed="15"/>
        <rFont val="Helvetica Neue Light"/>
      </rPr>
      <t>The Vermont Studio Center Artist Residency Program</t>
    </r>
  </si>
  <si>
    <t>This is a month long Residency at the The Vermont Studio Center to create a body work dealing with our current environmental situation.</t>
  </si>
  <si>
    <t>Help us bring Matchbox Girls to print! Marley Claviger must look after two mysterious little girls who could save the world-or end it.</t>
  </si>
  <si>
    <t>Pirogi Union is growing up and out. Help us find a new home where we can better supply all your pirogi needs</t>
  </si>
  <si>
    <t>An unstoppable tour of New England colleges-Guerrilla style! Help indie pop musician Toni Atari tear thru red tape, in a totally un-</t>
  </si>
  <si>
    <t>Electronic Music</t>
  </si>
  <si>
    <r>
      <rPr>
        <u/>
        <sz val="9"/>
        <color indexed="15"/>
        <rFont val="Helvetica Neue Light"/>
      </rPr>
      <t>Growing Rice in Vermont</t>
    </r>
    <r>
      <rPr>
        <sz val="9"/>
        <color indexed="8"/>
        <rFont val="Helvetica Neue Light"/>
      </rPr>
      <t xml:space="preserve">
</t>
    </r>
    <r>
      <rPr>
        <u/>
        <sz val="9"/>
        <color indexed="13"/>
        <rFont val="Helvetica Neue Light"/>
      </rPr>
      <t/>
    </r>
  </si>
  <si>
    <t>We want to supply Vermont with local organic rice and educate folks in New England on how they can grow their own.</t>
  </si>
  <si>
    <t>Tinmouth</t>
  </si>
  <si>
    <t>Rice cultivation</t>
  </si>
  <si>
    <r>
      <rPr>
        <u/>
        <sz val="9"/>
        <color indexed="15"/>
        <rFont val="Helvetica Neue Light"/>
      </rPr>
      <t>Vermont Studio Center Residency</t>
    </r>
  </si>
  <si>
    <t>A 4-week residency program at the Vermont Studio Center where I will create a large installation using wall drawing and sculpture.</t>
  </si>
  <si>
    <r>
      <rPr>
        <u/>
        <sz val="9"/>
        <color indexed="15"/>
        <rFont val="Helvetica Neue Light"/>
      </rPr>
      <t>Nonesuch Garden Safari Acrylic Charm Set</t>
    </r>
    <r>
      <rPr>
        <sz val="9"/>
        <color indexed="8"/>
        <rFont val="Helvetica Neue Light"/>
      </rPr>
      <t xml:space="preserve">
</t>
    </r>
    <r>
      <rPr>
        <u/>
        <sz val="9"/>
        <color indexed="13"/>
        <rFont val="Helvetica Neue Light"/>
      </rPr>
      <t/>
    </r>
  </si>
  <si>
    <t>The Nonesuch Dolls are being turned into acrylic charms! Be the first to own this charming new product from Nonesuch Garden!</t>
  </si>
  <si>
    <t>Retail</t>
  </si>
  <si>
    <t>Jewelry</t>
  </si>
  <si>
    <t>Charms</t>
  </si>
  <si>
    <r>
      <rPr>
        <u/>
        <sz val="9"/>
        <color indexed="15"/>
        <rFont val="Helvetica Neue Light"/>
      </rPr>
      <t>Bring Free Speech TV to Burlington!</t>
    </r>
  </si>
  <si>
    <t>Introducing our line of eco-furniture handcrafted in Vermont. We use strict sustainable harvesting combined with our unique design</t>
  </si>
  <si>
    <t>Hardwick</t>
  </si>
  <si>
    <t>Product Design</t>
  </si>
  <si>
    <r>
      <rPr>
        <u/>
        <sz val="9"/>
        <color indexed="15"/>
        <rFont val="Helvetica Neue Light"/>
      </rPr>
      <t>Sun Boxes in Vermont State Parks</t>
    </r>
  </si>
  <si>
    <t>Sun Boxes, a solar powered sound installation will be in 5 different state parks in Vermont. July 5th-August 5th 2012.</t>
  </si>
  <si>
    <t>Sound</t>
  </si>
  <si>
    <r>
      <rPr>
        <u/>
        <sz val="9"/>
        <color indexed="15"/>
        <rFont val="Helvetica Neue Light"/>
      </rPr>
      <t>Vermont Poetry and Song Project</t>
    </r>
  </si>
  <si>
    <r>
      <rPr>
        <u/>
        <sz val="9"/>
        <color indexed="15"/>
        <rFont val="Helvetica Neue Light"/>
      </rPr>
      <t>Vermont Studio Center Residency September 2012</t>
    </r>
  </si>
  <si>
    <t>Great opportunity and partially funded fellowship to attend residency at the Vermont Studio Center this fall continuing encaustic study</t>
  </si>
  <si>
    <r>
      <rPr>
        <sz val="9"/>
        <color indexed="8"/>
        <rFont val="Helvetica Neue Light"/>
      </rPr>
      <t xml:space="preserve">
</t>
    </r>
    <r>
      <rPr>
        <sz val="9"/>
        <color indexed="15"/>
        <rFont val="Helvetica Neue Light"/>
      </rPr>
      <t>I am in Here</t>
    </r>
  </si>
  <si>
    <t>Children’s Book</t>
  </si>
  <si>
    <t>Childrens</t>
  </si>
  <si>
    <t>A t-shirt artist defies Chick-fil-a, a multi-billion dollar fast food chain, when they lay claim to his art and website. Documentary.</t>
  </si>
  <si>
    <r>
      <rPr>
        <u/>
        <sz val="9"/>
        <color indexed="15"/>
        <rFont val="Helvetica Neue Light"/>
      </rPr>
      <t>Uncorrupted Smut</t>
    </r>
  </si>
  <si>
    <t>An art project about female sexuality, good and bad.</t>
  </si>
  <si>
    <t>Digital Art</t>
  </si>
  <si>
    <t>Sexuality</t>
  </si>
  <si>
    <r>
      <rPr>
        <u/>
        <sz val="9"/>
        <color indexed="15"/>
        <rFont val="Helvetica Neue Light"/>
      </rPr>
      <t>Waking Up the Echoes</t>
    </r>
    <r>
      <rPr>
        <sz val="9"/>
        <color indexed="8"/>
        <rFont val="Helvetica Neue Light"/>
      </rPr>
      <t xml:space="preserve">
</t>
    </r>
    <r>
      <rPr>
        <u/>
        <sz val="9"/>
        <color indexed="13"/>
        <rFont val="Helvetica Neue Light"/>
      </rPr>
      <t/>
    </r>
  </si>
  <si>
    <t>Way back we didn't wipe. Then, we wiped with whatever we had at hand. You can wipe you butt with this book in fact (see last chapter).</t>
  </si>
  <si>
    <t>Humor</t>
  </si>
  <si>
    <t>A "lush, dreamy fable" spanning worlds, Pilgrim of the Sky is one of the most unique fantasy novels you'll read this year - or next.</t>
  </si>
  <si>
    <t>After 16 years of songwriting, the lovely and compelling singer of Vermont Joy Parade, sets out to record a solo album.</t>
  </si>
  <si>
    <r>
      <rPr>
        <u/>
        <sz val="9"/>
        <color indexed="15"/>
        <rFont val="Helvetica Neue Light"/>
      </rPr>
      <t>Hot Tamale Co.</t>
    </r>
    <r>
      <rPr>
        <sz val="9"/>
        <color indexed="8"/>
        <rFont val="Helvetica Neue Light"/>
      </rPr>
      <t xml:space="preserve">
</t>
    </r>
    <r>
      <rPr>
        <u/>
        <sz val="9"/>
        <color indexed="13"/>
        <rFont val="Helvetica Neue Light"/>
      </rPr>
      <t/>
    </r>
  </si>
  <si>
    <r>
      <rPr>
        <u/>
        <sz val="9"/>
        <color indexed="15"/>
        <rFont val="Helvetica Neue Light"/>
      </rPr>
      <t>My Country is the World! Key to Peace by World Citizen #1!</t>
    </r>
    <r>
      <rPr>
        <sz val="9"/>
        <color indexed="8"/>
        <rFont val="Helvetica Neue Light"/>
      </rPr>
      <t xml:space="preserve">
</t>
    </r>
    <r>
      <rPr>
        <u/>
        <sz val="9"/>
        <color indexed="13"/>
        <rFont val="Helvetica Neue Light"/>
      </rPr>
      <t/>
    </r>
  </si>
  <si>
    <t>Imagine if the world was our country - no more wars! A Way for People to govern Earth, save the environment and build a future!</t>
  </si>
  <si>
    <r>
      <rPr>
        <u/>
        <sz val="9"/>
        <color indexed="15"/>
        <rFont val="Helvetica Neue Light"/>
      </rPr>
      <t>The Ramble: A Celebration of Creativity and Community</t>
    </r>
  </si>
  <si>
    <t>Please keep donating. Even though we have met our goal, our expenses are more then $1,000, THANK YOU, TO ALL THAT</t>
  </si>
  <si>
    <t>Community</t>
  </si>
  <si>
    <r>
      <rPr>
        <u/>
        <sz val="9"/>
        <color indexed="15"/>
        <rFont val="Helvetica Neue Light"/>
      </rPr>
      <t>Bearquarium Vinyl- we're going to the moon with this one!</t>
    </r>
    <r>
      <rPr>
        <sz val="9"/>
        <color indexed="8"/>
        <rFont val="Helvetica Neue Light"/>
      </rPr>
      <t xml:space="preserve">
</t>
    </r>
    <r>
      <rPr>
        <u/>
        <sz val="9"/>
        <color indexed="13"/>
        <rFont val="Helvetica Neue Light"/>
      </rPr>
      <t/>
    </r>
  </si>
  <si>
    <t>Bearquarium blends old-school rock with new school tricks, and we need the extra push to finish our new album and release it on vinyl!!</t>
  </si>
  <si>
    <r>
      <rPr>
        <u/>
        <sz val="9"/>
        <color indexed="15"/>
        <rFont val="Helvetica Neue Light"/>
      </rPr>
      <t>Snow Sculpting Tools for TEAM VERMONT</t>
    </r>
  </si>
  <si>
    <t>Free Is Art offers individual music lessons and visual art workshops to low-income residents of Windham County, VT- free of charge.</t>
  </si>
  <si>
    <t>Instruction</t>
  </si>
  <si>
    <r>
      <rPr>
        <u/>
        <sz val="9"/>
        <color indexed="15"/>
        <rFont val="Helvetica Neue Light"/>
      </rPr>
      <t>D-Generation: An Exaltation of Larks</t>
    </r>
    <r>
      <rPr>
        <sz val="9"/>
        <color indexed="8"/>
        <rFont val="Helvetica Neue Light"/>
      </rPr>
      <t xml:space="preserve">
</t>
    </r>
    <r>
      <rPr>
        <u/>
        <sz val="9"/>
        <color indexed="13"/>
        <rFont val="Helvetica Neue Light"/>
      </rPr>
      <t/>
    </r>
  </si>
  <si>
    <t>After spending 37 years around the world as a slapstick comedian I would like to bring the fun festival experience to my hometown!</t>
  </si>
  <si>
    <t>Waterbury Center</t>
  </si>
  <si>
    <r>
      <rPr>
        <u/>
        <sz val="9"/>
        <color indexed="15"/>
        <rFont val="Helvetica Neue Light"/>
      </rPr>
      <t>1919 to 20/20: Rumination Animation</t>
    </r>
  </si>
  <si>
    <t>Animated super short narrated by 93 year old American WWII vet</t>
  </si>
  <si>
    <t>Animation</t>
  </si>
  <si>
    <r>
      <rPr>
        <u/>
        <sz val="9"/>
        <color indexed="15"/>
        <rFont val="Helvetica Neue Light"/>
      </rPr>
      <t>Artist Residency at the Vermont Studio Center</t>
    </r>
    <r>
      <rPr>
        <sz val="9"/>
        <color indexed="8"/>
        <rFont val="Helvetica Neue Light"/>
      </rPr>
      <t xml:space="preserve">
</t>
    </r>
    <r>
      <rPr>
        <u/>
        <sz val="9"/>
        <color indexed="13"/>
        <rFont val="Helvetica Neue Light"/>
      </rPr>
      <t xml:space="preserve">
</t>
    </r>
  </si>
  <si>
    <r>
      <rPr>
        <u/>
        <sz val="9"/>
        <color indexed="15"/>
        <rFont val="Helvetica Neue Light"/>
      </rPr>
      <t>More Space, Bigger Paintings @ VT Artists Week 2012</t>
    </r>
    <r>
      <rPr>
        <sz val="9"/>
        <color indexed="8"/>
        <rFont val="Helvetica Neue Light"/>
      </rPr>
      <t xml:space="preserve">
</t>
    </r>
    <r>
      <rPr>
        <u/>
        <sz val="9"/>
        <color indexed="13"/>
        <rFont val="Helvetica Neue Light"/>
      </rPr>
      <t/>
    </r>
  </si>
  <si>
    <r>
      <rPr>
        <u/>
        <sz val="9"/>
        <color indexed="15"/>
        <rFont val="Helvetica Neue Light"/>
      </rPr>
      <t>Filabot: Plastic Filament Maker</t>
    </r>
    <r>
      <rPr>
        <sz val="9"/>
        <color indexed="8"/>
        <rFont val="Helvetica Neue Light"/>
      </rPr>
      <t xml:space="preserve">
</t>
    </r>
    <r>
      <rPr>
        <u/>
        <sz val="9"/>
        <color indexed="13"/>
        <rFont val="Helvetica Neue Light"/>
      </rPr>
      <t/>
    </r>
  </si>
  <si>
    <t>Make your own 3D printing filament from recycled bottles and other plastic products. Never run out of 3D printing filament.</t>
  </si>
  <si>
    <t>Milton</t>
  </si>
  <si>
    <t>Technology</t>
  </si>
  <si>
    <t>3D Printer</t>
  </si>
  <si>
    <r>
      <rPr>
        <u/>
        <sz val="9"/>
        <color indexed="15"/>
        <rFont val="Helvetica Neue Light"/>
      </rPr>
      <t>Print Release of Matchbox Girls</t>
    </r>
  </si>
  <si>
    <t>An exhibition of carved Vermont maple boards depicting many of the world's endangered forms of writing.</t>
  </si>
  <si>
    <t>Mixed Media</t>
  </si>
  <si>
    <t>Wood Carving</t>
  </si>
  <si>
    <r>
      <rPr>
        <u/>
        <sz val="9"/>
        <color indexed="15"/>
        <rFont val="Helvetica Neue Light"/>
      </rPr>
      <t>Vermont Vacation</t>
    </r>
    <r>
      <rPr>
        <sz val="9"/>
        <color indexed="8"/>
        <rFont val="Helvetica Neue Light"/>
      </rPr>
      <t xml:space="preserve">
</t>
    </r>
    <r>
      <rPr>
        <u/>
        <sz val="9"/>
        <color indexed="13"/>
        <rFont val="Helvetica Neue Light"/>
      </rPr>
      <t/>
    </r>
  </si>
  <si>
    <t>Vermont Vacation: with James Horan (Lost), Lou Martini, Jr. (Lbs.), Ben Pace (Elevator), and Meagan Prahl (Random Creepy Guy).</t>
  </si>
  <si>
    <t>Narrative Film</t>
  </si>
  <si>
    <t>Comedy</t>
  </si>
  <si>
    <r>
      <rPr>
        <u/>
        <sz val="9"/>
        <color indexed="15"/>
        <rFont val="Helvetica Neue Light"/>
      </rPr>
      <t>Colorquilts wooden jigsaw puzzle</t>
    </r>
  </si>
  <si>
    <t>Capital</t>
  </si>
  <si>
    <t>Baking</t>
  </si>
  <si>
    <r>
      <rPr>
        <u/>
        <sz val="9"/>
        <color indexed="15"/>
        <rFont val="Helvetica Neue Light"/>
      </rPr>
      <t>John Gillette &amp; Sarah Mittlefehldt - Old Field Pines</t>
    </r>
    <r>
      <rPr>
        <sz val="9"/>
        <color indexed="8"/>
        <rFont val="Helvetica Neue Light"/>
      </rPr>
      <t xml:space="preserve">
</t>
    </r>
    <r>
      <rPr>
        <u/>
        <sz val="9"/>
        <color indexed="13"/>
        <rFont val="Helvetica Neue Light"/>
      </rPr>
      <t/>
    </r>
  </si>
  <si>
    <r>
      <rPr>
        <u/>
        <sz val="9"/>
        <color indexed="15"/>
        <rFont val="Helvetica Neue Light"/>
      </rPr>
      <t>Print Release of (re)Visions: Alice</t>
    </r>
  </si>
  <si>
    <t>In 1865, Alice went on an adventure to Wonderland. Today, four modern authors follow her down the rabbit hole...</t>
  </si>
  <si>
    <t>New Frameworks Natural Building is performing building diagnostics tests on straw bale houses to gather data for a forthcoming book.</t>
  </si>
  <si>
    <t>Book</t>
  </si>
  <si>
    <t>Research</t>
  </si>
  <si>
    <r>
      <rPr>
        <u/>
        <sz val="9"/>
        <color indexed="15"/>
        <rFont val="Helvetica Neue Light"/>
      </rPr>
      <t>250 Years/250 People: Windsor Vermont</t>
    </r>
    <r>
      <rPr>
        <sz val="9"/>
        <color indexed="8"/>
        <rFont val="Helvetica Neue Light"/>
      </rPr>
      <t xml:space="preserve">
</t>
    </r>
    <r>
      <rPr>
        <u/>
        <sz val="9"/>
        <color indexed="13"/>
        <rFont val="Helvetica Neue Light"/>
      </rPr>
      <t/>
    </r>
  </si>
  <si>
    <t>As Windsor celebrates 250 years-photographers and filmmakers will complete a multimedia archive project and print book.</t>
  </si>
  <si>
    <t>Windsor</t>
  </si>
  <si>
    <r>
      <rPr>
        <u/>
        <sz val="9"/>
        <color indexed="15"/>
        <rFont val="Helvetica Neue Light"/>
      </rPr>
      <t>Vermont MIDI Project Opus 22 - Student Composers</t>
    </r>
  </si>
  <si>
    <t>Celebrate the young composer! Opus 22 is a live performance by professional musicians of original student compositions.</t>
  </si>
  <si>
    <r>
      <rPr>
        <u/>
        <sz val="9"/>
        <color indexed="15"/>
        <rFont val="Helvetica Neue Light"/>
      </rPr>
      <t>Into the Rhine's Veggie Oil Conversion!</t>
    </r>
  </si>
  <si>
    <t>Help bring fearless, independent journalism to BT in March 2012. Sign up to become a "Friend of Free Speech TV in Burlington."</t>
  </si>
  <si>
    <t>Flm &amp; Video</t>
  </si>
  <si>
    <t>Small farm food is so much tastier than factory farm food... Another Button Farm pasture raises heritage breed Tamworth pork, Freedom Ranger chickens and Broad Breasted Bronze turkeys on our 35 acres farm.  </t>
  </si>
  <si>
    <t>Tunbridge</t>
  </si>
  <si>
    <r>
      <rPr>
        <u/>
        <sz val="9"/>
        <color indexed="15"/>
        <rFont val="Helvetica Neue Light"/>
      </rPr>
      <t>Don't Give the Dog Sugar With His Tea!</t>
    </r>
    <r>
      <rPr>
        <sz val="9"/>
        <color indexed="8"/>
        <rFont val="Helvetica Neue Light"/>
      </rPr>
      <t xml:space="preserve">
</t>
    </r>
    <r>
      <rPr>
        <u/>
        <sz val="9"/>
        <color indexed="13"/>
        <rFont val="Helvetica Neue Light"/>
      </rPr>
      <t/>
    </r>
  </si>
  <si>
    <t>This uproarious, action packed story about a dog who has had too much sugar, parallels our modern world of excessive sugar</t>
  </si>
  <si>
    <t>Manchester</t>
  </si>
  <si>
    <t>We would like to record our debut EP for you and would like for you to help us by donating some cash. Please help us help you!!!</t>
  </si>
  <si>
    <r>
      <rPr>
        <u/>
        <sz val="9"/>
        <color indexed="15"/>
        <rFont val="Helvetica Neue Light"/>
      </rPr>
      <t>No Sh*t: The History of Wiping.</t>
    </r>
    <r>
      <rPr>
        <sz val="9"/>
        <color indexed="8"/>
        <rFont val="Helvetica Neue Light"/>
      </rPr>
      <t xml:space="preserve">
</t>
    </r>
    <r>
      <rPr>
        <u/>
        <sz val="9"/>
        <color indexed="13"/>
        <rFont val="Helvetica Neue Light"/>
      </rPr>
      <t/>
    </r>
  </si>
  <si>
    <t>Her sister swore that she would never let her die; now the entire world may pay the price. Get your hands on Erekos - in print!</t>
  </si>
  <si>
    <t>Fiction</t>
  </si>
  <si>
    <r>
      <rPr>
        <u/>
        <sz val="9"/>
        <color indexed="15"/>
        <rFont val="Helvetica Neue Light"/>
      </rPr>
      <t>THE BUS: Off Broadway &amp; Westboro Baptist Church</t>
    </r>
    <r>
      <rPr>
        <sz val="9"/>
        <color indexed="8"/>
        <rFont val="Helvetica Neue Light"/>
      </rPr>
      <t xml:space="preserve">
</t>
    </r>
    <r>
      <rPr>
        <u/>
        <sz val="9"/>
        <color indexed="13"/>
        <rFont val="Helvetica Neue Light"/>
      </rPr>
      <t/>
    </r>
  </si>
  <si>
    <t>Our play about small-town homophobia is headed Off Broadway AND to one of the most anti-gay places in the U.S.</t>
  </si>
  <si>
    <t>Musical</t>
  </si>
  <si>
    <r>
      <rPr>
        <u/>
        <sz val="9"/>
        <color indexed="15"/>
        <rFont val="Helvetica Neue Light"/>
      </rPr>
      <t>Janapar Trail - A Journey through Nagorno-Karabakh</t>
    </r>
    <r>
      <rPr>
        <sz val="9"/>
        <color indexed="8"/>
        <rFont val="Helvetica Neue Light"/>
      </rPr>
      <t xml:space="preserve">
</t>
    </r>
    <r>
      <rPr>
        <u/>
        <sz val="9"/>
        <color indexed="13"/>
        <rFont val="Helvetica Neue Light"/>
      </rPr>
      <t/>
    </r>
  </si>
  <si>
    <r>
      <rPr>
        <u/>
        <sz val="9"/>
        <color indexed="15"/>
        <rFont val="Helvetica Neue Light"/>
      </rPr>
      <t>Andre Souligny's first studio recording "Bright Half-Life"</t>
    </r>
  </si>
  <si>
    <t>Patch Notes: The Game is a satirical top-down multiplayer twin-stick shooter with a new patch coming out every ten seconds!</t>
  </si>
  <si>
    <t>Video Game</t>
  </si>
  <si>
    <t>Multiplayer Shooter</t>
  </si>
  <si>
    <t>A documentary about my life growing up with Marfan Syndrome and what the changing healthcare system means for our medical</t>
  </si>
  <si>
    <t>Documentary</t>
  </si>
  <si>
    <r>
      <rPr>
        <u/>
        <sz val="9"/>
        <color indexed="15"/>
        <rFont val="Helvetica Neue Light"/>
      </rPr>
      <t>Cut &amp; Paste: a Whitney Sparks creation</t>
    </r>
  </si>
  <si>
    <t>In pursuit of an international MFA, an artists' residency at Vermont Studio Center will launch my dream life as a mixed-media artist!</t>
  </si>
  <si>
    <r>
      <rPr>
        <u/>
        <sz val="9"/>
        <color indexed="15"/>
        <rFont val="Helvetica Neue Light"/>
      </rPr>
      <t>Patch Cord Needs Your Help To Record Their Debut CD!</t>
    </r>
    <r>
      <rPr>
        <sz val="9"/>
        <color indexed="8"/>
        <rFont val="Helvetica Neue Light"/>
      </rPr>
      <t xml:space="preserve">
</t>
    </r>
    <r>
      <rPr>
        <u/>
        <sz val="9"/>
        <color indexed="13"/>
        <rFont val="Helvetica Neue Light"/>
      </rPr>
      <t/>
    </r>
  </si>
  <si>
    <t>Bennington, VT's own Patch Cord needs YOUR help to produce our very first independent studio recording!</t>
  </si>
  <si>
    <t>Bennington</t>
  </si>
  <si>
    <t>Rock n’ Roll</t>
  </si>
  <si>
    <r>
      <rPr>
        <u/>
        <sz val="9"/>
        <color indexed="15"/>
        <rFont val="Helvetica Neue Light"/>
      </rPr>
      <t>Windborne Trio: with wand'ring feet</t>
    </r>
    <r>
      <rPr>
        <sz val="9"/>
        <color indexed="8"/>
        <rFont val="Helvetica Neue Light"/>
      </rPr>
      <t xml:space="preserve">
</t>
    </r>
    <r>
      <rPr>
        <u/>
        <sz val="9"/>
        <color indexed="13"/>
        <rFont val="Helvetica Neue Light"/>
      </rPr>
      <t/>
    </r>
  </si>
  <si>
    <t>The current Vermont State Champion Snow Sculpting team needs some new tools to be able to compete in the US National competition.</t>
  </si>
  <si>
    <t>Snow</t>
  </si>
  <si>
    <r>
      <rPr>
        <u/>
        <sz val="9"/>
        <color indexed="15"/>
        <rFont val="Helvetica Neue Light"/>
      </rPr>
      <t>The Becoming of Garamike</t>
    </r>
  </si>
  <si>
    <t>A theater piece that explores the surprising creative potential of people living with dementia.</t>
  </si>
  <si>
    <r>
      <rPr>
        <u/>
        <sz val="9"/>
        <color indexed="15"/>
        <rFont val="Helvetica Neue Light"/>
      </rPr>
      <t>Songfest Project</t>
    </r>
    <r>
      <rPr>
        <sz val="9"/>
        <color indexed="8"/>
        <rFont val="Helvetica Neue Light"/>
      </rPr>
      <t xml:space="preserve">
</t>
    </r>
    <r>
      <rPr>
        <u/>
        <sz val="9"/>
        <color indexed="13"/>
        <rFont val="Helvetica Neue Light"/>
      </rPr>
      <t/>
    </r>
  </si>
  <si>
    <t>Songfest creates songs with Union 3rd and 4th graders and then the students perform them accompanied by the MCO at the</t>
  </si>
  <si>
    <r>
      <rPr>
        <u/>
        <sz val="9"/>
        <color indexed="15"/>
        <rFont val="Helvetica Neue Light"/>
      </rPr>
      <t>Print Release of I, Crimsonstreak</t>
    </r>
  </si>
  <si>
    <t>Saving the world isn't easy when your only powers are super-speed and looking good in Spandex. But someone's gotta do it.</t>
  </si>
  <si>
    <t>Help us finance our second album! Donate today and receive eccentric prizes. Our sorrow is your joy!</t>
  </si>
  <si>
    <r>
      <rPr>
        <u/>
        <sz val="9"/>
        <color indexed="15"/>
        <rFont val="Helvetica Neue Light"/>
      </rPr>
      <t>The Endangered Alphabets Project</t>
    </r>
  </si>
  <si>
    <t>Doll Fight! is recording an EP full of original music!</t>
  </si>
  <si>
    <r>
      <rPr>
        <u/>
        <sz val="9"/>
        <color indexed="15"/>
        <rFont val="Helvetica Neue Light"/>
      </rPr>
      <t>Sabertooth Bakery! 100% vegan baked goods bicycle cart!</t>
    </r>
    <r>
      <rPr>
        <sz val="9"/>
        <color indexed="8"/>
        <rFont val="Helvetica Neue Light"/>
      </rPr>
      <t xml:space="preserve">
</t>
    </r>
    <r>
      <rPr>
        <u/>
        <sz val="9"/>
        <color indexed="13"/>
        <rFont val="Helvetica Neue Light"/>
      </rPr>
      <t/>
    </r>
  </si>
  <si>
    <t>Schools</t>
  </si>
  <si>
    <r>
      <rPr>
        <u/>
        <sz val="9"/>
        <color indexed="15"/>
        <rFont val="Helvetica Neue Light"/>
      </rPr>
      <t>Energy Performance Testing on Straw Bale Buildings</t>
    </r>
    <r>
      <rPr>
        <sz val="9"/>
        <color indexed="8"/>
        <rFont val="Helvetica Neue Light"/>
      </rPr>
      <t xml:space="preserve">
</t>
    </r>
    <r>
      <rPr>
        <u/>
        <sz val="9"/>
        <color indexed="13"/>
        <rFont val="Helvetica Neue Light"/>
      </rPr>
      <t/>
    </r>
  </si>
  <si>
    <t>Imagine a beautiful wooden jigsaw puzzle, with pieces shaped like birds and leaves, using an image of my dyed fabric art!</t>
  </si>
  <si>
    <t>Putney</t>
  </si>
  <si>
    <t>Crafts</t>
  </si>
  <si>
    <t>Puzzle</t>
  </si>
  <si>
    <t>Hey Everyone! So we're packing out bags and preparing to head back to Burlington, VT for another great summer of theater but we need some support!</t>
  </si>
  <si>
    <t>Theater</t>
  </si>
  <si>
    <r>
      <rPr>
        <u/>
        <sz val="9"/>
        <color indexed="15"/>
        <rFont val="Helvetica Neue Light"/>
      </rPr>
      <t>Radio Free Vermont 1st Annual Music Awards Concert</t>
    </r>
  </si>
  <si>
    <t>1st annual Radio Free Vermont Music Awards Concert! Be apart of the fun and help us raise the funds to make this event a reality!</t>
  </si>
  <si>
    <t>Montpelier</t>
  </si>
  <si>
    <t>Pop</t>
  </si>
  <si>
    <t>Concert</t>
  </si>
  <si>
    <r>
      <rPr>
        <u/>
        <sz val="9"/>
        <color indexed="15"/>
        <rFont val="Helvetica Neue Light"/>
      </rPr>
      <t>Running Clear -- An album of original music by Nate Gusakov</t>
    </r>
  </si>
  <si>
    <t>Nate Gusakov's debut album offers diverse banjo stylings and some of Vermont's best musicians--truly original music from the Green Mtns</t>
  </si>
  <si>
    <t>Lincoln</t>
  </si>
  <si>
    <t>Country and Folk</t>
  </si>
  <si>
    <r>
      <rPr>
        <u/>
        <sz val="9"/>
        <color indexed="15"/>
        <rFont val="Helvetica Neue Light"/>
      </rPr>
      <t>Equinox: my first comic (genre: fantasy)</t>
    </r>
    <r>
      <rPr>
        <sz val="9"/>
        <color indexed="8"/>
        <rFont val="Helvetica Neue Light"/>
      </rPr>
      <t xml:space="preserve">
</t>
    </r>
    <r>
      <rPr>
        <u/>
        <sz val="9"/>
        <color indexed="13"/>
        <rFont val="Helvetica Neue Light"/>
      </rPr>
      <t/>
    </r>
  </si>
  <si>
    <t>We are Into the Rhine,an acoustic metal project trying to convert our Bookmobile to run on Veggie Oil to tour from Vermont to Alaska!</t>
  </si>
  <si>
    <r>
      <rPr>
        <u/>
        <sz val="9"/>
        <color indexed="15"/>
        <rFont val="Helvetica Neue Light"/>
      </rPr>
      <t>Spit Jack is Recording A New EP</t>
    </r>
    <r>
      <rPr>
        <sz val="9"/>
        <color indexed="8"/>
        <rFont val="Helvetica Neue Light"/>
      </rPr>
      <t xml:space="preserve">
</t>
    </r>
    <r>
      <rPr>
        <u/>
        <sz val="9"/>
        <color indexed="13"/>
        <rFont val="Helvetica Neue Light"/>
      </rPr>
      <t/>
    </r>
  </si>
  <si>
    <t>Hey Rockers! We are recording a new EP and we need your help. We hate charging a cover for our shows so when we record we take</t>
  </si>
  <si>
    <t>Indie Rock</t>
  </si>
  <si>
    <r>
      <rPr>
        <u/>
        <sz val="9"/>
        <color indexed="15"/>
        <rFont val="Helvetica Neue Light"/>
      </rPr>
      <t>Happy Jawbone &amp; Great Valley's 7" Christmas Party!!</t>
    </r>
    <r>
      <rPr>
        <sz val="9"/>
        <color indexed="8"/>
        <rFont val="Helvetica Neue Light"/>
      </rPr>
      <t xml:space="preserve">
</t>
    </r>
    <r>
      <rPr>
        <u/>
        <sz val="9"/>
        <color indexed="13"/>
        <rFont val="Helvetica Neue Light"/>
      </rPr>
      <t/>
    </r>
  </si>
  <si>
    <r>
      <rPr>
        <u/>
        <sz val="9"/>
        <color indexed="15"/>
        <rFont val="Helvetica Neue Light"/>
      </rPr>
      <t>Conquest</t>
    </r>
  </si>
  <si>
    <t>Ever wanted to conquer a galaxy? In Conquest, a hot seat strategy board game for the iPad and Android tablets, you’ll get exactly</t>
  </si>
  <si>
    <r>
      <rPr>
        <u/>
        <sz val="9"/>
        <color indexed="15"/>
        <rFont val="Helvetica Neue Light"/>
      </rPr>
      <t>A Defiant Dude</t>
    </r>
  </si>
  <si>
    <t>Happy Jawbone Family Band and Great Valley want to give the world a very special Holiday Gift! 7 inches of Pretend Pop Christmas</t>
  </si>
  <si>
    <t>Party</t>
  </si>
  <si>
    <r>
      <rPr>
        <u/>
        <sz val="9"/>
        <color indexed="15"/>
        <rFont val="Helvetica Neue Light"/>
      </rPr>
      <t>Craig Mitchell &amp; Motor City</t>
    </r>
  </si>
  <si>
    <t>A collection of traditional acapella harmony from Zimbabwe. The book will include transcriptions, notes, and a recording of a small choir.</t>
  </si>
  <si>
    <t>World Music</t>
  </si>
  <si>
    <t>International</t>
  </si>
  <si>
    <r>
      <rPr>
        <u/>
        <sz val="9"/>
        <color indexed="15"/>
        <rFont val="Helvetica Neue Light"/>
      </rPr>
      <t>Let's make a record together!!!</t>
    </r>
    <r>
      <rPr>
        <sz val="9"/>
        <color indexed="8"/>
        <rFont val="Helvetica Neue Light"/>
      </rPr>
      <t xml:space="preserve">
</t>
    </r>
    <r>
      <rPr>
        <u/>
        <sz val="9"/>
        <color indexed="13"/>
        <rFont val="Helvetica Neue Light"/>
      </rPr>
      <t/>
    </r>
  </si>
  <si>
    <t>Photography &amp; mapping of the Janapar trail through Nagorno-Karabakh, an autonomous region between Armenia &amp; Azerbaijan.</t>
  </si>
  <si>
    <t>Multimedia</t>
  </si>
  <si>
    <r>
      <rPr>
        <u/>
        <sz val="9"/>
        <color indexed="15"/>
        <rFont val="Helvetica Neue Light"/>
      </rPr>
      <t>Patch Notes: The Game</t>
    </r>
    <r>
      <rPr>
        <sz val="9"/>
        <color indexed="8"/>
        <rFont val="Helvetica Neue Light"/>
      </rPr>
      <t xml:space="preserve">
</t>
    </r>
    <r>
      <rPr>
        <u/>
        <sz val="9"/>
        <color indexed="13"/>
        <rFont val="Helvetica Neue Light"/>
      </rPr>
      <t/>
    </r>
  </si>
  <si>
    <t>Painting</t>
  </si>
  <si>
    <r>
      <rPr>
        <u/>
        <sz val="9"/>
        <color indexed="15"/>
        <rFont val="Helvetica Neue Light"/>
      </rPr>
      <t>"Me &amp; Antoine B" Documentary</t>
    </r>
  </si>
  <si>
    <t>Photography</t>
  </si>
  <si>
    <t>Public Art</t>
  </si>
  <si>
    <r>
      <rPr>
        <u/>
        <sz val="9"/>
        <color indexed="15"/>
        <rFont val="Helvetica Neue Light"/>
      </rPr>
      <t>Prove that "Everyone Can Dance" and Feed the APE!</t>
    </r>
  </si>
  <si>
    <t>Colorquilts wooden jigsaw puzzle for YOUNG and OLD</t>
    <phoneticPr fontId="9" type="noConversion"/>
  </si>
  <si>
    <t>Windborne needs your help in producing with wand'ring feet, our first trio CD of folk songs from Europe and North America!</t>
  </si>
  <si>
    <t>Country &amp; Folk</t>
  </si>
  <si>
    <t>Folk</t>
  </si>
  <si>
    <r>
      <rPr>
        <u/>
        <sz val="9"/>
        <color indexed="15"/>
        <rFont val="Helvetica Neue Light"/>
      </rPr>
      <t>Heloise and the Savoir Faire: New Album</t>
    </r>
    <r>
      <rPr>
        <sz val="9"/>
        <color indexed="8"/>
        <rFont val="Helvetica Neue Light"/>
      </rPr>
      <t xml:space="preserve">
</t>
    </r>
    <r>
      <rPr>
        <u/>
        <sz val="9"/>
        <color indexed="13"/>
        <rFont val="Helvetica Neue Light"/>
      </rPr>
      <t/>
    </r>
  </si>
  <si>
    <t>Title</t>
  </si>
  <si>
    <t>Description</t>
  </si>
  <si>
    <t>Location</t>
  </si>
  <si>
    <t>Goal ($)</t>
  </si>
  <si>
    <t>Amount Pledged ($)</t>
  </si>
  <si>
    <t>Completion Level (%)</t>
  </si>
  <si>
    <t>Backers (N)</t>
  </si>
  <si>
    <t>Facebook Likes</t>
  </si>
  <si>
    <t>Date Ended</t>
  </si>
  <si>
    <t>Duration (Days)</t>
  </si>
  <si>
    <t>Updates</t>
  </si>
  <si>
    <t>Comments</t>
  </si>
  <si>
    <t>Kickstarter Category</t>
  </si>
  <si>
    <t>Category</t>
  </si>
  <si>
    <t>Subcategory 1</t>
  </si>
  <si>
    <t>Subcategory 2</t>
  </si>
  <si>
    <r>
      <rPr>
        <u/>
        <sz val="9"/>
        <color indexed="15"/>
        <rFont val="Helvetica Neue Light"/>
      </rPr>
      <t>The Vacant Lots are heading to SXSW</t>
    </r>
    <r>
      <rPr>
        <sz val="9"/>
        <color indexed="8"/>
        <rFont val="Helvetica Neue Light"/>
      </rPr>
      <t xml:space="preserve">
</t>
    </r>
    <r>
      <rPr>
        <u/>
        <sz val="9"/>
        <color indexed="13"/>
        <rFont val="Helvetica Neue Light"/>
      </rPr>
      <t/>
    </r>
  </si>
  <si>
    <r>
      <rPr>
        <u/>
        <sz val="9"/>
        <color indexed="15"/>
        <rFont val="Helvetica Neue Light"/>
      </rPr>
      <t>Song-Catching in the Motherlands</t>
    </r>
  </si>
  <si>
    <t>I will bring back songs that keep time, not only through meter but across centuries, and songs that resonate with places and worlds.</t>
  </si>
  <si>
    <r>
      <rPr>
        <u/>
        <sz val="9"/>
        <color indexed="15"/>
        <rFont val="Helvetica Neue Light"/>
      </rPr>
      <t>Europe or Bust Tour &amp; Album</t>
    </r>
  </si>
  <si>
    <t>Heloise and the Savoir Faire are in pre-production for their new pop-electronic-new age-disco-dance music masterpiece (hopefully!!!)</t>
  </si>
  <si>
    <t>Electronic</t>
  </si>
  <si>
    <t>I've resolved to become a cross-bred cousin to that clunky, crusty, fish-lipped, oil-belching, high-rise-wrecking meteorite</t>
  </si>
  <si>
    <t>Performance Art</t>
  </si>
  <si>
    <t>Costume</t>
  </si>
  <si>
    <t>Donate $50 &amp; receive our new album, the DVD &amp; a limited edition tour t-shirt, &amp; send us to Europe to record. This is the last day!</t>
  </si>
  <si>
    <t xml:space="preserve"> Rock</t>
  </si>
  <si>
    <r>
      <rPr>
        <u/>
        <sz val="9"/>
        <color indexed="15"/>
        <rFont val="Helvetica Neue Light"/>
      </rPr>
      <t>Vermont Joy Parade's New Album</t>
    </r>
  </si>
  <si>
    <t>BURLINGTON, VERMONT's soon to be all vegan bakery bicycle cart serving downtown with delicious specialty cupcakes, cheesecakes, &amp; &lt;3.</t>
  </si>
  <si>
    <t>Cart</t>
  </si>
  <si>
    <r>
      <rPr>
        <u/>
        <sz val="9"/>
        <color indexed="15"/>
        <rFont val="Helvetica Neue Light"/>
      </rPr>
      <t>Small schools at crossroads in Vermont</t>
    </r>
  </si>
  <si>
    <t>Our community newspaper will be running an unusually complex and in-depth look at education in Vermont and why it's at a crossroads.</t>
  </si>
  <si>
    <t>Reporting</t>
  </si>
  <si>
    <t>The stories of these 12 seniors go back to World War I. Help share them with thousands of leaf peepers at the Vermont Folklife Center this fall.</t>
  </si>
  <si>
    <t>Randolph</t>
  </si>
  <si>
    <t>Journalism</t>
  </si>
  <si>
    <t>Performance</t>
  </si>
  <si>
    <t>Storytelling</t>
  </si>
  <si>
    <r>
      <rPr>
        <u/>
        <sz val="9"/>
        <color indexed="15"/>
        <rFont val="Helvetica Neue Light"/>
      </rPr>
      <t>Red Stage Theatre 2010</t>
    </r>
    <r>
      <rPr>
        <sz val="9"/>
        <color indexed="8"/>
        <rFont val="Helvetica Neue Light"/>
      </rPr>
      <t xml:space="preserve">
</t>
    </r>
    <r>
      <rPr>
        <u/>
        <sz val="9"/>
        <color indexed="13"/>
        <rFont val="Helvetica Neue Light"/>
      </rPr>
      <t/>
    </r>
  </si>
  <si>
    <t>Art</t>
    <phoneticPr fontId="9" type="noConversion"/>
  </si>
  <si>
    <t>Rock</t>
    <phoneticPr fontId="9" type="noConversion"/>
  </si>
  <si>
    <t>Documentary</t>
    <phoneticPr fontId="9" type="noConversion"/>
  </si>
  <si>
    <r>
      <rPr>
        <u/>
        <sz val="9"/>
        <color indexed="15"/>
        <rFont val="Helvetica Neue Light"/>
      </rPr>
      <t>Participate in a great musical endeavor!</t>
    </r>
    <r>
      <rPr>
        <sz val="9"/>
        <color indexed="8"/>
        <rFont val="Helvetica Neue Light"/>
      </rPr>
      <t xml:space="preserve">
</t>
    </r>
    <r>
      <rPr>
        <u/>
        <sz val="9"/>
        <color indexed="13"/>
        <rFont val="Helvetica Neue Light"/>
      </rPr>
      <t/>
    </r>
  </si>
  <si>
    <t>This is a CD/DVD recording project of sweet and soulful, electrifying, make you wanna move take on jazz, seasoned with the sounds of</t>
  </si>
  <si>
    <t>Brattleboro</t>
  </si>
  <si>
    <t>Jazz</t>
  </si>
  <si>
    <t>Music</t>
  </si>
  <si>
    <t>CD recording</t>
  </si>
  <si>
    <r>
      <rPr>
        <u/>
        <sz val="9"/>
        <color indexed="15"/>
        <rFont val="Helvetica Neue Light"/>
      </rPr>
      <t>The Hale Street Gang's Vermont Debut</t>
    </r>
  </si>
  <si>
    <t>FB Likes</t>
    <phoneticPr fontId="9" type="noConversion"/>
  </si>
  <si>
    <t>Date Begun</t>
    <phoneticPr fontId="9" type="noConversion"/>
  </si>
  <si>
    <t xml:space="preserve">Bennington </t>
    <phoneticPr fontId="9" type="noConversion"/>
  </si>
  <si>
    <t>Johnson</t>
    <phoneticPr fontId="9" type="noConversion"/>
  </si>
  <si>
    <t>Brattleboro</t>
    <phoneticPr fontId="9" type="noConversion"/>
  </si>
  <si>
    <t>Montpelier</t>
    <phoneticPr fontId="9" type="noConversion"/>
  </si>
  <si>
    <t xml:space="preserve">Manchester </t>
    <phoneticPr fontId="9" type="noConversion"/>
  </si>
  <si>
    <t xml:space="preserve">Middlebury </t>
    <phoneticPr fontId="9" type="noConversion"/>
  </si>
  <si>
    <t>Waitsfield</t>
    <phoneticPr fontId="9" type="noConversion"/>
  </si>
  <si>
    <t>Poultney</t>
    <phoneticPr fontId="9" type="noConversion"/>
  </si>
  <si>
    <t>Windsor</t>
    <phoneticPr fontId="9" type="noConversion"/>
  </si>
  <si>
    <t>Back to "The Land" - An Adventure Play Documentary</t>
    <phoneticPr fontId="9" type="noConversion"/>
  </si>
  <si>
    <t>In reaction to dance competition reality shows, Big APE presents Everyone Can Dance, a community-based performance project touring 3 Vermont cities.</t>
  </si>
  <si>
    <t>Dance</t>
  </si>
  <si>
    <t>Tour</t>
  </si>
  <si>
    <t>Equinox is set in a fantasy world where magic is outlawed. A wizard is forced to recruit accomplices to overturn the balance of power.</t>
  </si>
  <si>
    <t>Comics</t>
  </si>
  <si>
    <t>Scifi, Fantasy</t>
  </si>
  <si>
    <r>
      <rPr>
        <u/>
        <sz val="9"/>
        <color indexed="15"/>
        <rFont val="Helvetica Neue Light"/>
      </rPr>
      <t>A Printmaking Residency at Vermont Studio Center</t>
    </r>
    <r>
      <rPr>
        <sz val="9"/>
        <color indexed="8"/>
        <rFont val="Helvetica Neue Light"/>
      </rPr>
      <t xml:space="preserve">
</t>
    </r>
    <r>
      <rPr>
        <u/>
        <sz val="9"/>
        <color indexed="13"/>
        <rFont val="Helvetica Neue Light"/>
      </rPr>
      <t/>
    </r>
  </si>
  <si>
    <t>An artist residency at Vermont Studio Center to create CARTOGRAPHIES OF RUIN, large-scale printmaking maps.</t>
  </si>
  <si>
    <r>
      <rPr>
        <u/>
        <sz val="9"/>
        <color indexed="15"/>
        <rFont val="Helvetica Neue Light"/>
      </rPr>
      <t>Print Release of Erekos</t>
    </r>
  </si>
  <si>
    <r>
      <rPr>
        <u/>
        <sz val="9"/>
        <color indexed="15"/>
        <rFont val="Helvetica Neue Light"/>
      </rPr>
      <t>collaborate: sculpture meets dance meets me in my dreams</t>
    </r>
  </si>
  <si>
    <t>During a residency at the VErmont Studio Center, I will create a large scale installation/ dance set. With your help, that is.</t>
  </si>
  <si>
    <t>Johnson</t>
  </si>
  <si>
    <t>Sculpture</t>
  </si>
  <si>
    <t>Art</t>
  </si>
  <si>
    <t>Residency</t>
  </si>
  <si>
    <r>
      <rPr>
        <u/>
        <sz val="9"/>
        <color indexed="15"/>
        <rFont val="Helvetica Neue Light"/>
      </rPr>
      <t>Making Art in the Spring, what a wonderful Thing</t>
    </r>
  </si>
  <si>
    <t>I got into to the Vermont Studio Center. I want to make lots of art and meet people - experience this unique place. Two words: Hot Glue</t>
  </si>
  <si>
    <r>
      <rPr>
        <u/>
        <sz val="9"/>
        <color indexed="15"/>
        <rFont val="Helvetica Neue Light"/>
      </rPr>
      <t>From the Ground Up: Good Food, Gluten-Free</t>
    </r>
    <r>
      <rPr>
        <sz val="9"/>
        <color indexed="8"/>
        <rFont val="Helvetica Neue Light"/>
      </rPr>
      <t xml:space="preserve">
</t>
    </r>
    <r>
      <rPr>
        <u/>
        <sz val="9"/>
        <color indexed="13"/>
        <rFont val="Helvetica Neue Light"/>
      </rPr>
      <t/>
    </r>
  </si>
  <si>
    <t>"Better a broken bone than a broken spirit." - Lady Allen of Hurtwood, an early advocate of Adventure Play</t>
    <phoneticPr fontId="9" type="noConversion"/>
  </si>
  <si>
    <t>Jan 18th, 2013</t>
    <phoneticPr fontId="9" type="noConversion"/>
  </si>
  <si>
    <r>
      <rPr>
        <u/>
        <sz val="9"/>
        <color indexed="15"/>
        <rFont val="Helvetica Neue Light"/>
      </rPr>
      <t>SING ZIMBABWE: a book and cd of traditional choral singing from</t>
    </r>
    <r>
      <rPr>
        <sz val="9"/>
        <color indexed="8"/>
        <rFont val="Helvetica Neue Light"/>
      </rPr>
      <t xml:space="preserve">
</t>
    </r>
    <r>
      <rPr>
        <u/>
        <sz val="9"/>
        <color indexed="13"/>
        <rFont val="Helvetica Neue Light"/>
      </rPr>
      <t/>
    </r>
  </si>
  <si>
    <t>I'd like to produce a fine wooden jigsaw puzzle, with fewer than 100 large pieces. Rich and colorful, with interestingly shaped pieces!</t>
    <phoneticPr fontId="9" type="noConversion"/>
  </si>
  <si>
    <t>Putney</t>
    <phoneticPr fontId="9" type="noConversion"/>
  </si>
  <si>
    <t>"Public Safety" - A New Original Web Series</t>
    <phoneticPr fontId="9" type="noConversion"/>
  </si>
  <si>
    <t>Hey Everyone! I'm looking to record a new album and I need your help. Thank you for your time and possibly your money!!</t>
  </si>
  <si>
    <t>Rock</t>
  </si>
  <si>
    <t>Median Funding Received</t>
    <phoneticPr fontId="9" type="noConversion"/>
  </si>
  <si>
    <t>From the Ground Up is a home-based bakery and mill that makes tasty, wholesome gluten-free baked goods and mixes</t>
  </si>
  <si>
    <t>Food</t>
  </si>
  <si>
    <t>Bakery</t>
  </si>
  <si>
    <t>Startup costs</t>
  </si>
  <si>
    <r>
      <rPr>
        <u/>
        <sz val="9"/>
        <color indexed="15"/>
        <rFont val="Helvetica Neue Light"/>
      </rPr>
      <t>camera on a string</t>
    </r>
    <r>
      <rPr>
        <sz val="9"/>
        <color indexed="8"/>
        <rFont val="Helvetica Neue Light"/>
      </rPr>
      <t xml:space="preserve">
</t>
    </r>
    <r>
      <rPr>
        <u/>
        <sz val="9"/>
        <color indexed="13"/>
        <rFont val="Helvetica Neue Light"/>
      </rPr>
      <t/>
    </r>
  </si>
  <si>
    <t>There’s no telling where or when you’ll see a camera on a string. They just sort of pop up, surprise people, and disappear as quickly</t>
  </si>
  <si>
    <t>The Vacant Lots are planning on going to SXSW, in Austin, TX this March. All money raised here will go towards funding our trip to</t>
  </si>
  <si>
    <r>
      <rPr>
        <u/>
        <sz val="9"/>
        <color indexed="15"/>
        <rFont val="Helvetica Neue Light"/>
      </rPr>
      <t>Doll Fight! is making their first EP!</t>
    </r>
    <r>
      <rPr>
        <sz val="9"/>
        <color indexed="8"/>
        <rFont val="Helvetica Neue Light"/>
      </rPr>
      <t xml:space="preserve">
</t>
    </r>
    <r>
      <rPr>
        <u/>
        <sz val="9"/>
        <color indexed="13"/>
        <rFont val="Helvetica Neue Light"/>
      </rPr>
      <t/>
    </r>
  </si>
  <si>
    <r>
      <rPr>
        <u/>
        <sz val="9"/>
        <color indexed="15"/>
        <rFont val="Helvetica Neue Light"/>
      </rPr>
      <t>The Monster Book</t>
    </r>
    <r>
      <rPr>
        <sz val="9"/>
        <color indexed="8"/>
        <rFont val="Helvetica Neue Light"/>
      </rPr>
      <t xml:space="preserve">
</t>
    </r>
    <r>
      <rPr>
        <u/>
        <sz val="9"/>
        <color indexed="13"/>
        <rFont val="Helvetica Neue Light"/>
      </rPr>
      <t/>
    </r>
  </si>
  <si>
    <t>The Monster Book is a compilation of 26 linoleum block prints: a monster for every letter of the alphabet—each with it's own</t>
  </si>
  <si>
    <t>Burlington</t>
  </si>
  <si>
    <t>Publishing</t>
  </si>
  <si>
    <t>Production</t>
  </si>
  <si>
    <t>Art book</t>
  </si>
  <si>
    <t>One Thousand Love Letters</t>
    <phoneticPr fontId="9" type="noConversion"/>
  </si>
  <si>
    <t>What if we wrote a thousand love letters in two weeks?</t>
    <phoneticPr fontId="9" type="noConversion"/>
  </si>
  <si>
    <t>A comic web series about the day-to-day lives of Public Safety Officers on a college campus.</t>
    <phoneticPr fontId="9" type="noConversion"/>
  </si>
  <si>
    <t>Middlebury</t>
    <phoneticPr fontId="9" type="noConversion"/>
  </si>
  <si>
    <t>The Food Project: Local Through The Mouths of Locals</t>
    <phoneticPr fontId="9" type="noConversion"/>
  </si>
  <si>
    <t xml:space="preserve">Think co-ops, convicts, &amp; carrots have nothing in common? 2 girls embarking on a tour de force America are about to prove you </t>
    <phoneticPr fontId="9" type="noConversion"/>
  </si>
  <si>
    <t>Mixed Media</t>
    <phoneticPr fontId="9" type="noConversion"/>
  </si>
  <si>
    <t>Webseries</t>
    <phoneticPr fontId="9" type="noConversion"/>
  </si>
  <si>
    <t>Crafts</t>
    <phoneticPr fontId="9" type="noConversion"/>
  </si>
  <si>
    <t>Fiction</t>
    <phoneticPr fontId="9" type="noConversion"/>
  </si>
  <si>
    <t>Fiction</t>
    <phoneticPr fontId="9" type="noConversion"/>
  </si>
</sst>
</file>

<file path=xl/styles.xml><?xml version="1.0" encoding="utf-8"?>
<styleSheet xmlns="http://schemas.openxmlformats.org/spreadsheetml/2006/main">
  <numFmts count="7">
    <numFmt numFmtId="44" formatCode="_(&quot;$&quot;* #,##0.00_);_(&quot;$&quot;* \(#,##0.00\);_(&quot;$&quot;* &quot;-&quot;??_);_(@_)"/>
    <numFmt numFmtId="164" formatCode="&quot;$&quot;#,##0"/>
    <numFmt numFmtId="165" formatCode="mmm\ d\,\ yyyy"/>
    <numFmt numFmtId="166" formatCode="&quot;$&quot;#,##0.0"/>
    <numFmt numFmtId="167" formatCode="#,##0%"/>
    <numFmt numFmtId="168" formatCode="0.0"/>
    <numFmt numFmtId="169" formatCode="&quot;$&quot;#,##0.00"/>
  </numFmts>
  <fonts count="14">
    <font>
      <sz val="11"/>
      <color indexed="8"/>
      <name val="Helvetica Neue"/>
    </font>
    <font>
      <sz val="10"/>
      <color indexed="9"/>
      <name val="Helvetica Neue"/>
    </font>
    <font>
      <sz val="9"/>
      <color indexed="8"/>
      <name val="Helvetica Neue Light"/>
    </font>
    <font>
      <sz val="9"/>
      <color indexed="9"/>
      <name val="Helvetica Neue Light"/>
    </font>
    <font>
      <u/>
      <sz val="9"/>
      <color indexed="13"/>
      <name val="Helvetica Neue Light"/>
    </font>
    <font>
      <u/>
      <sz val="9"/>
      <color indexed="15"/>
      <name val="Helvetica Neue Light"/>
    </font>
    <font>
      <sz val="9"/>
      <color indexed="13"/>
      <name val="Helvetica Neue Light"/>
    </font>
    <font>
      <sz val="9"/>
      <color indexed="15"/>
      <name val="Helvetica Neue Light"/>
    </font>
    <font>
      <sz val="10"/>
      <color indexed="8"/>
      <name val="Helvetica Neue Light"/>
    </font>
    <font>
      <sz val="8"/>
      <name val="Verdana"/>
    </font>
    <font>
      <u/>
      <sz val="12"/>
      <name val="Monaco"/>
    </font>
    <font>
      <sz val="12"/>
      <name val="Monaco"/>
    </font>
    <font>
      <b/>
      <sz val="11"/>
      <color indexed="8"/>
      <name val="Helvetica Neue"/>
    </font>
    <font>
      <b/>
      <sz val="11"/>
      <name val="Helvetica Neue"/>
    </font>
  </fonts>
  <fills count="5">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14"/>
        <bgColor indexed="64"/>
      </patternFill>
    </fill>
  </fills>
  <borders count="22">
    <border>
      <left/>
      <right/>
      <top/>
      <bottom/>
      <diagonal/>
    </border>
    <border>
      <left style="thin">
        <color indexed="11"/>
      </left>
      <right style="thin">
        <color indexed="11"/>
      </right>
      <top style="thin">
        <color indexed="11"/>
      </top>
      <bottom style="thin">
        <color indexed="11"/>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pplyNumberFormat="0" applyFill="0" applyBorder="0" applyProtection="0">
      <alignment vertical="top"/>
    </xf>
    <xf numFmtId="44" fontId="1" fillId="0" borderId="0" applyFont="0" applyFill="0" applyBorder="0" applyAlignment="0" applyProtection="0"/>
    <xf numFmtId="9" fontId="1" fillId="0" borderId="0" applyFont="0" applyFill="0" applyBorder="0" applyAlignment="0" applyProtection="0"/>
  </cellStyleXfs>
  <cellXfs count="87">
    <xf numFmtId="0" fontId="0" fillId="0" borderId="0" xfId="0" applyAlignment="1"/>
    <xf numFmtId="0" fontId="1" fillId="0" borderId="0" xfId="0" applyNumberFormat="1" applyFont="1" applyAlignment="1">
      <alignment vertical="top"/>
    </xf>
    <xf numFmtId="0"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3" fillId="3" borderId="1" xfId="0" applyNumberFormat="1" applyFont="1" applyFill="1" applyBorder="1" applyAlignment="1">
      <alignment horizontal="center" vertical="top" wrapText="1"/>
    </xf>
    <xf numFmtId="0" fontId="4" fillId="4" borderId="1" xfId="0" applyNumberFormat="1" applyFont="1" applyFill="1" applyBorder="1" applyAlignment="1">
      <alignment horizontal="left" vertical="top" wrapText="1"/>
    </xf>
    <xf numFmtId="0" fontId="2" fillId="4" borderId="1" xfId="0" applyNumberFormat="1" applyFont="1" applyFill="1" applyBorder="1" applyAlignment="1">
      <alignment horizontal="left" vertical="top" wrapText="1"/>
    </xf>
    <xf numFmtId="164" fontId="2" fillId="4" borderId="1" xfId="0" applyNumberFormat="1" applyFont="1" applyFill="1" applyBorder="1" applyAlignment="1">
      <alignment horizontal="right" vertical="top" wrapText="1"/>
    </xf>
    <xf numFmtId="0" fontId="2" fillId="4" borderId="1" xfId="0" applyNumberFormat="1" applyFont="1" applyFill="1" applyBorder="1" applyAlignment="1">
      <alignment horizontal="right" vertical="top" wrapText="1"/>
    </xf>
    <xf numFmtId="165" fontId="3" fillId="4" borderId="1" xfId="0" applyNumberFormat="1" applyFont="1" applyFill="1" applyBorder="1" applyAlignment="1">
      <alignment vertical="top" wrapText="1"/>
    </xf>
    <xf numFmtId="0" fontId="3" fillId="4" borderId="1" xfId="0" applyNumberFormat="1" applyFont="1" applyFill="1" applyBorder="1" applyAlignment="1">
      <alignment horizontal="right" vertical="top" wrapText="1"/>
    </xf>
    <xf numFmtId="0" fontId="3" fillId="4" borderId="1" xfId="0" applyNumberFormat="1" applyFont="1" applyFill="1" applyBorder="1" applyAlignment="1">
      <alignment vertical="top" wrapText="1"/>
    </xf>
    <xf numFmtId="0" fontId="6" fillId="4" borderId="1" xfId="0" applyNumberFormat="1" applyFont="1" applyFill="1" applyBorder="1" applyAlignment="1">
      <alignment horizontal="left" vertical="top" wrapText="1"/>
    </xf>
    <xf numFmtId="166" fontId="2" fillId="4" borderId="1" xfId="0" applyNumberFormat="1" applyFont="1" applyFill="1" applyBorder="1" applyAlignment="1">
      <alignment horizontal="right" vertical="top" wrapText="1"/>
    </xf>
    <xf numFmtId="165" fontId="2" fillId="4" borderId="1" xfId="0" applyNumberFormat="1" applyFont="1" applyFill="1" applyBorder="1" applyAlignment="1">
      <alignment horizontal="left" vertical="top" wrapText="1"/>
    </xf>
    <xf numFmtId="167" fontId="3" fillId="4" borderId="1" xfId="0" applyNumberFormat="1" applyFont="1" applyFill="1" applyBorder="1" applyAlignment="1">
      <alignment vertical="top" wrapText="1"/>
    </xf>
    <xf numFmtId="168" fontId="3" fillId="4" borderId="1" xfId="0" applyNumberFormat="1" applyFont="1" applyFill="1" applyBorder="1" applyAlignment="1">
      <alignment horizontal="right" vertical="top" wrapText="1"/>
    </xf>
    <xf numFmtId="168" fontId="2" fillId="4" borderId="1" xfId="0" applyNumberFormat="1" applyFont="1" applyFill="1" applyBorder="1" applyAlignment="1">
      <alignment horizontal="right" vertical="top" wrapText="1"/>
    </xf>
    <xf numFmtId="166" fontId="8" fillId="4" borderId="1" xfId="0" applyNumberFormat="1" applyFont="1" applyFill="1" applyBorder="1" applyAlignment="1">
      <alignment horizontal="right" vertical="top" wrapText="1"/>
    </xf>
    <xf numFmtId="169" fontId="2" fillId="4" borderId="1" xfId="0" applyNumberFormat="1" applyFont="1" applyFill="1" applyBorder="1" applyAlignment="1">
      <alignment horizontal="right" vertical="top" wrapText="1"/>
    </xf>
    <xf numFmtId="0" fontId="2" fillId="0" borderId="1" xfId="0" applyNumberFormat="1" applyFont="1" applyFill="1" applyBorder="1" applyAlignment="1">
      <alignment horizontal="left" vertical="top" wrapText="1"/>
    </xf>
    <xf numFmtId="0" fontId="10" fillId="4" borderId="1" xfId="0" applyNumberFormat="1" applyFont="1" applyFill="1" applyBorder="1" applyAlignment="1">
      <alignment horizontal="left" vertical="top" wrapText="1"/>
    </xf>
    <xf numFmtId="0" fontId="11" fillId="4" borderId="1" xfId="0" applyNumberFormat="1" applyFont="1" applyFill="1" applyBorder="1" applyAlignment="1">
      <alignment horizontal="left" vertical="top" wrapText="1"/>
    </xf>
    <xf numFmtId="164" fontId="11" fillId="4" borderId="1" xfId="0" applyNumberFormat="1" applyFont="1" applyFill="1" applyBorder="1" applyAlignment="1">
      <alignment horizontal="right" vertical="top" wrapText="1"/>
    </xf>
    <xf numFmtId="0" fontId="11" fillId="4" borderId="1" xfId="0" applyNumberFormat="1" applyFont="1" applyFill="1" applyBorder="1" applyAlignment="1">
      <alignment horizontal="right" vertical="top" wrapText="1"/>
    </xf>
    <xf numFmtId="168" fontId="11" fillId="4" borderId="1" xfId="0" applyNumberFormat="1" applyFont="1" applyFill="1" applyBorder="1" applyAlignment="1">
      <alignment horizontal="right" vertical="top" wrapText="1"/>
    </xf>
    <xf numFmtId="0" fontId="11" fillId="4" borderId="1" xfId="0" applyNumberFormat="1" applyFont="1" applyFill="1" applyBorder="1" applyAlignment="1">
      <alignment vertical="top" wrapText="1"/>
    </xf>
    <xf numFmtId="0" fontId="12" fillId="0" borderId="0" xfId="0" applyFont="1" applyAlignment="1"/>
    <xf numFmtId="164" fontId="11" fillId="4" borderId="1" xfId="0" applyNumberFormat="1" applyFont="1" applyFill="1" applyBorder="1" applyAlignment="1">
      <alignment horizontal="left" vertical="top" wrapText="1"/>
    </xf>
    <xf numFmtId="164" fontId="1" fillId="0" borderId="0" xfId="0" applyNumberFormat="1" applyFont="1" applyAlignment="1">
      <alignment vertical="top"/>
    </xf>
    <xf numFmtId="44" fontId="1" fillId="0" borderId="0" xfId="1" applyFont="1" applyAlignment="1">
      <alignment vertical="top"/>
    </xf>
    <xf numFmtId="9" fontId="12" fillId="0" borderId="0" xfId="2" applyFont="1" applyAlignment="1"/>
    <xf numFmtId="44" fontId="12" fillId="0" borderId="0" xfId="1" applyFont="1" applyAlignment="1"/>
    <xf numFmtId="0" fontId="0" fillId="0" borderId="2" xfId="0" applyBorder="1" applyAlignment="1"/>
    <xf numFmtId="0" fontId="12" fillId="0" borderId="2" xfId="0" applyFont="1" applyBorder="1" applyAlignment="1"/>
    <xf numFmtId="0" fontId="12" fillId="0" borderId="0" xfId="0" applyFont="1" applyBorder="1" applyAlignment="1"/>
    <xf numFmtId="0" fontId="0" fillId="0" borderId="14" xfId="0" applyBorder="1" applyAlignment="1"/>
    <xf numFmtId="0" fontId="13" fillId="0" borderId="2" xfId="0" applyFont="1" applyBorder="1" applyAlignment="1"/>
    <xf numFmtId="44" fontId="0" fillId="0" borderId="2" xfId="1" applyFont="1" applyBorder="1" applyAlignment="1"/>
    <xf numFmtId="0" fontId="12" fillId="0" borderId="10" xfId="0" applyFont="1" applyBorder="1" applyAlignment="1"/>
    <xf numFmtId="0" fontId="0" fillId="0" borderId="3"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18" xfId="0" applyBorder="1" applyAlignment="1"/>
    <xf numFmtId="0" fontId="0" fillId="0" borderId="11" xfId="0" applyBorder="1" applyAlignment="1"/>
    <xf numFmtId="0" fontId="0" fillId="0" borderId="12" xfId="0" applyBorder="1" applyAlignment="1"/>
    <xf numFmtId="9" fontId="0" fillId="0" borderId="13" xfId="2" applyFont="1" applyBorder="1" applyAlignment="1"/>
    <xf numFmtId="0" fontId="0" fillId="0" borderId="15" xfId="0" applyBorder="1" applyAlignment="1"/>
    <xf numFmtId="9" fontId="0" fillId="0" borderId="16" xfId="2" applyFont="1" applyBorder="1" applyAlignment="1"/>
    <xf numFmtId="9" fontId="0" fillId="0" borderId="16" xfId="2" applyFont="1" applyBorder="1" applyAlignment="1">
      <alignment horizontal="center"/>
    </xf>
    <xf numFmtId="0" fontId="0" fillId="0" borderId="17" xfId="0" applyBorder="1" applyAlignment="1"/>
    <xf numFmtId="0" fontId="0" fillId="0" borderId="19" xfId="0" applyFill="1" applyBorder="1" applyAlignment="1"/>
    <xf numFmtId="0" fontId="0" fillId="0" borderId="20" xfId="0" applyBorder="1" applyAlignment="1"/>
    <xf numFmtId="9" fontId="0" fillId="0" borderId="21" xfId="2" applyFont="1" applyBorder="1" applyAlignment="1"/>
    <xf numFmtId="1" fontId="0" fillId="0" borderId="4" xfId="0" applyNumberFormat="1" applyBorder="1" applyAlignment="1"/>
    <xf numFmtId="1" fontId="0" fillId="0" borderId="7" xfId="0" applyNumberFormat="1" applyBorder="1" applyAlignment="1"/>
    <xf numFmtId="0" fontId="12" fillId="0" borderId="6" xfId="0" applyFont="1" applyBorder="1" applyAlignment="1"/>
    <xf numFmtId="1" fontId="12" fillId="0" borderId="7" xfId="0" applyNumberFormat="1" applyFont="1" applyBorder="1" applyAlignment="1"/>
    <xf numFmtId="0" fontId="12" fillId="0" borderId="7" xfId="0" applyFont="1" applyBorder="1" applyAlignment="1"/>
    <xf numFmtId="0" fontId="12" fillId="0" borderId="8" xfId="0" applyFont="1" applyBorder="1" applyAlignment="1"/>
    <xf numFmtId="0" fontId="12" fillId="0" borderId="9" xfId="0" applyFont="1" applyBorder="1" applyAlignment="1"/>
    <xf numFmtId="0" fontId="0" fillId="0" borderId="5" xfId="0" applyBorder="1" applyAlignment="1"/>
    <xf numFmtId="44" fontId="0" fillId="0" borderId="5" xfId="1" applyFont="1" applyBorder="1" applyAlignment="1"/>
    <xf numFmtId="9" fontId="0" fillId="0" borderId="4" xfId="2" applyFont="1" applyBorder="1" applyAlignment="1"/>
    <xf numFmtId="0" fontId="0" fillId="0" borderId="0" xfId="0" applyBorder="1" applyAlignment="1"/>
    <xf numFmtId="44" fontId="0" fillId="0" borderId="0" xfId="1" applyFont="1" applyBorder="1" applyAlignment="1"/>
    <xf numFmtId="9" fontId="0" fillId="0" borderId="7" xfId="2" applyFont="1" applyBorder="1" applyAlignment="1"/>
    <xf numFmtId="9" fontId="0" fillId="0" borderId="9" xfId="2" applyFont="1" applyBorder="1" applyAlignment="1"/>
    <xf numFmtId="2" fontId="0" fillId="0" borderId="4" xfId="0" applyNumberFormat="1" applyBorder="1" applyAlignment="1"/>
    <xf numFmtId="2" fontId="0" fillId="0" borderId="9" xfId="0" applyNumberFormat="1" applyBorder="1" applyAlignment="1"/>
    <xf numFmtId="0" fontId="2" fillId="4" borderId="0" xfId="0" applyNumberFormat="1" applyFont="1" applyFill="1" applyBorder="1" applyAlignment="1">
      <alignment horizontal="right" vertical="top" wrapText="1"/>
    </xf>
    <xf numFmtId="0" fontId="3" fillId="4" borderId="0" xfId="0" applyNumberFormat="1" applyFont="1" applyFill="1" applyBorder="1" applyAlignment="1">
      <alignment vertical="top" wrapText="1"/>
    </xf>
    <xf numFmtId="44" fontId="0" fillId="0" borderId="5" xfId="1" applyFont="1" applyBorder="1" applyAlignment="1"/>
    <xf numFmtId="44" fontId="0" fillId="0" borderId="0" xfId="1" applyFont="1" applyBorder="1" applyAlignment="1"/>
    <xf numFmtId="44" fontId="0" fillId="0" borderId="2" xfId="1" applyFont="1" applyBorder="1" applyAlignment="1"/>
    <xf numFmtId="164" fontId="2" fillId="4" borderId="1" xfId="0" applyNumberFormat="1" applyFont="1" applyFill="1" applyBorder="1" applyAlignment="1">
      <alignment horizontal="left" vertical="top" wrapText="1"/>
    </xf>
    <xf numFmtId="44" fontId="12" fillId="0" borderId="0" xfId="1" applyFont="1" applyAlignment="1"/>
    <xf numFmtId="44" fontId="12" fillId="0" borderId="0" xfId="0" applyNumberFormat="1" applyFont="1" applyBorder="1" applyAlignment="1"/>
    <xf numFmtId="166" fontId="10" fillId="4" borderId="1" xfId="0" applyNumberFormat="1" applyFont="1" applyFill="1" applyBorder="1" applyAlignment="1">
      <alignment horizontal="left" vertical="top" wrapText="1"/>
    </xf>
    <xf numFmtId="0" fontId="0" fillId="0" borderId="0" xfId="0" applyFill="1" applyBorder="1" applyAlignment="1"/>
    <xf numFmtId="0" fontId="2" fillId="4" borderId="1" xfId="2" applyNumberFormat="1" applyFont="1" applyFill="1" applyBorder="1" applyAlignment="1">
      <alignment horizontal="center" vertical="top" wrapText="1"/>
    </xf>
    <xf numFmtId="0" fontId="3" fillId="4" borderId="1" xfId="2" applyNumberFormat="1" applyFont="1" applyFill="1" applyBorder="1" applyAlignment="1">
      <alignment horizontal="center" vertical="top" wrapText="1"/>
    </xf>
    <xf numFmtId="44" fontId="3" fillId="4" borderId="1" xfId="1" applyFont="1" applyFill="1" applyBorder="1" applyAlignment="1">
      <alignment vertical="top" wrapText="1"/>
    </xf>
    <xf numFmtId="164" fontId="10" fillId="4" borderId="1" xfId="0" applyNumberFormat="1" applyFont="1" applyFill="1" applyBorder="1" applyAlignment="1">
      <alignment horizontal="left" vertical="top" wrapText="1"/>
    </xf>
    <xf numFmtId="166" fontId="11" fillId="4" borderId="1" xfId="0" applyNumberFormat="1" applyFont="1" applyFill="1" applyBorder="1" applyAlignment="1">
      <alignment horizontal="left" vertical="top" wrapText="1"/>
    </xf>
    <xf numFmtId="164" fontId="11" fillId="4" borderId="1" xfId="0" applyNumberFormat="1" applyFont="1" applyFill="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000000"/>
      <rgbColor rgb="00B0B3B2"/>
      <rgbColor rgb="00CDCDCD"/>
      <rgbColor rgb="00E6E6E6"/>
      <rgbColor rgb="000000F5"/>
      <rgbColor rgb="00FFFFFF"/>
      <rgbColor rgb="00000099"/>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style val="18"/>
  <c:chart>
    <c:title>
      <c:tx>
        <c:rich>
          <a:bodyPr/>
          <a:lstStyle/>
          <a:p>
            <a:pPr>
              <a:defRPr/>
            </a:pPr>
            <a:r>
              <a:rPr lang="en-US"/>
              <a:t>Occurence of Funding</a:t>
            </a:r>
            <a:r>
              <a:rPr lang="en-US" baseline="0"/>
              <a:t> Percentage </a:t>
            </a:r>
            <a:endParaRPr lang="en-US"/>
          </a:p>
        </c:rich>
      </c:tx>
      <c:layout/>
      <c:spPr>
        <a:noFill/>
        <a:ln w="25400">
          <a:noFill/>
        </a:ln>
      </c:spPr>
    </c:title>
    <c:plotArea>
      <c:layout/>
      <c:barChart>
        <c:barDir val="bar"/>
        <c:grouping val="clustered"/>
        <c:ser>
          <c:idx val="0"/>
          <c:order val="0"/>
          <c:tx>
            <c:v>Frequency</c:v>
          </c:tx>
          <c:spPr>
            <a:gradFill rotWithShape="0">
              <a:gsLst>
                <a:gs pos="0">
                  <a:srgbClr val="9BC1FF"/>
                </a:gs>
                <a:gs pos="100000">
                  <a:srgbClr val="3F80CD"/>
                </a:gs>
              </a:gsLst>
              <a:lin ang="5400000"/>
            </a:gradFill>
            <a:ln w="25400">
              <a:noFill/>
            </a:ln>
            <a:effectLst>
              <a:outerShdw dist="35921" dir="2700000" algn="br">
                <a:srgbClr val="000000"/>
              </a:outerShdw>
            </a:effectLst>
          </c:spPr>
          <c:cat>
            <c:strRef>
              <c:f>'Metric Breakdown'!$A$19:$A$49</c:f>
              <c:strCache>
                <c:ptCount val="31"/>
                <c:pt idx="0">
                  <c:v>&lt;10</c:v>
                </c:pt>
                <c:pt idx="1">
                  <c:v>10&lt;20</c:v>
                </c:pt>
                <c:pt idx="2">
                  <c:v>20&lt;30</c:v>
                </c:pt>
                <c:pt idx="3">
                  <c:v>30&lt;40</c:v>
                </c:pt>
                <c:pt idx="4">
                  <c:v>40&lt;50</c:v>
                </c:pt>
                <c:pt idx="5">
                  <c:v>50&lt;60</c:v>
                </c:pt>
                <c:pt idx="6">
                  <c:v>60&lt;70</c:v>
                </c:pt>
                <c:pt idx="7">
                  <c:v>70&lt;80</c:v>
                </c:pt>
                <c:pt idx="8">
                  <c:v>80&lt;90</c:v>
                </c:pt>
                <c:pt idx="9">
                  <c:v>90&lt;100</c:v>
                </c:pt>
                <c:pt idx="10">
                  <c:v>100&lt;110</c:v>
                </c:pt>
                <c:pt idx="11">
                  <c:v>110&lt;120</c:v>
                </c:pt>
                <c:pt idx="12">
                  <c:v>120&lt;130</c:v>
                </c:pt>
                <c:pt idx="13">
                  <c:v>130&lt;140</c:v>
                </c:pt>
                <c:pt idx="14">
                  <c:v>140&lt;150</c:v>
                </c:pt>
                <c:pt idx="15">
                  <c:v>150&lt;160</c:v>
                </c:pt>
                <c:pt idx="16">
                  <c:v>160&lt;170</c:v>
                </c:pt>
                <c:pt idx="17">
                  <c:v>170&lt;180</c:v>
                </c:pt>
                <c:pt idx="18">
                  <c:v>180&lt;190</c:v>
                </c:pt>
                <c:pt idx="19">
                  <c:v>190&lt;200</c:v>
                </c:pt>
                <c:pt idx="20">
                  <c:v>200&lt;210</c:v>
                </c:pt>
                <c:pt idx="21">
                  <c:v>210&lt;220</c:v>
                </c:pt>
                <c:pt idx="22">
                  <c:v>220&lt;230</c:v>
                </c:pt>
                <c:pt idx="23">
                  <c:v>230&lt;240</c:v>
                </c:pt>
                <c:pt idx="24">
                  <c:v>240&lt;250</c:v>
                </c:pt>
                <c:pt idx="25">
                  <c:v>250&lt;260</c:v>
                </c:pt>
                <c:pt idx="26">
                  <c:v>260&lt;270</c:v>
                </c:pt>
                <c:pt idx="27">
                  <c:v>270&lt;280</c:v>
                </c:pt>
                <c:pt idx="28">
                  <c:v>280&lt;290</c:v>
                </c:pt>
                <c:pt idx="29">
                  <c:v>290&lt;300</c:v>
                </c:pt>
                <c:pt idx="30">
                  <c:v>&gt;300</c:v>
                </c:pt>
              </c:strCache>
            </c:strRef>
          </c:cat>
          <c:val>
            <c:numRef>
              <c:f>'Metric Breakdown'!$B$19:$B$49</c:f>
              <c:numCache>
                <c:formatCode>General</c:formatCode>
                <c:ptCount val="31"/>
                <c:pt idx="0">
                  <c:v>14</c:v>
                </c:pt>
                <c:pt idx="1">
                  <c:v>5</c:v>
                </c:pt>
                <c:pt idx="2">
                  <c:v>2</c:v>
                </c:pt>
                <c:pt idx="3">
                  <c:v>3</c:v>
                </c:pt>
                <c:pt idx="4">
                  <c:v>3</c:v>
                </c:pt>
                <c:pt idx="5">
                  <c:v>2</c:v>
                </c:pt>
                <c:pt idx="6">
                  <c:v>2</c:v>
                </c:pt>
                <c:pt idx="7">
                  <c:v>1</c:v>
                </c:pt>
                <c:pt idx="8">
                  <c:v>0</c:v>
                </c:pt>
                <c:pt idx="9">
                  <c:v>0</c:v>
                </c:pt>
                <c:pt idx="10">
                  <c:v>60</c:v>
                </c:pt>
                <c:pt idx="11">
                  <c:v>22</c:v>
                </c:pt>
                <c:pt idx="12">
                  <c:v>17</c:v>
                </c:pt>
                <c:pt idx="13">
                  <c:v>8</c:v>
                </c:pt>
                <c:pt idx="14">
                  <c:v>7</c:v>
                </c:pt>
                <c:pt idx="15">
                  <c:v>8</c:v>
                </c:pt>
                <c:pt idx="16">
                  <c:v>2</c:v>
                </c:pt>
                <c:pt idx="17">
                  <c:v>3</c:v>
                </c:pt>
                <c:pt idx="18">
                  <c:v>1</c:v>
                </c:pt>
                <c:pt idx="19">
                  <c:v>0</c:v>
                </c:pt>
                <c:pt idx="20">
                  <c:v>1</c:v>
                </c:pt>
                <c:pt idx="21">
                  <c:v>0</c:v>
                </c:pt>
                <c:pt idx="22">
                  <c:v>1</c:v>
                </c:pt>
                <c:pt idx="23">
                  <c:v>3</c:v>
                </c:pt>
                <c:pt idx="24">
                  <c:v>1</c:v>
                </c:pt>
                <c:pt idx="25">
                  <c:v>1</c:v>
                </c:pt>
                <c:pt idx="26">
                  <c:v>0</c:v>
                </c:pt>
                <c:pt idx="27">
                  <c:v>1</c:v>
                </c:pt>
                <c:pt idx="28">
                  <c:v>1</c:v>
                </c:pt>
                <c:pt idx="29">
                  <c:v>1</c:v>
                </c:pt>
                <c:pt idx="30">
                  <c:v>8</c:v>
                </c:pt>
              </c:numCache>
            </c:numRef>
          </c:val>
        </c:ser>
        <c:axId val="80913920"/>
        <c:axId val="80915456"/>
      </c:barChart>
      <c:catAx>
        <c:axId val="80913920"/>
        <c:scaling>
          <c:orientation val="minMax"/>
        </c:scaling>
        <c:axPos val="l"/>
        <c:numFmt formatCode="General" sourceLinked="1"/>
        <c:tickLblPos val="nextTo"/>
        <c:spPr>
          <a:ln w="3175">
            <a:solidFill>
              <a:srgbClr val="808080"/>
            </a:solidFill>
            <a:prstDash val="solid"/>
          </a:ln>
        </c:spPr>
        <c:crossAx val="80915456"/>
        <c:crosses val="autoZero"/>
        <c:auto val="1"/>
        <c:lblAlgn val="ctr"/>
        <c:lblOffset val="100"/>
      </c:catAx>
      <c:valAx>
        <c:axId val="80915456"/>
        <c:scaling>
          <c:orientation val="minMax"/>
        </c:scaling>
        <c:axPos val="b"/>
        <c:majorGridlines>
          <c:spPr>
            <a:ln w="3175">
              <a:solidFill>
                <a:srgbClr val="808080"/>
              </a:solidFill>
              <a:prstDash val="solid"/>
            </a:ln>
          </c:spPr>
        </c:majorGridlines>
        <c:numFmt formatCode="General" sourceLinked="1"/>
        <c:tickLblPos val="nextTo"/>
        <c:spPr>
          <a:ln w="3175">
            <a:solidFill>
              <a:srgbClr val="808080"/>
            </a:solidFill>
            <a:prstDash val="solid"/>
          </a:ln>
        </c:spPr>
        <c:crossAx val="80913920"/>
        <c:crosses val="autoZero"/>
        <c:crossBetween val="between"/>
      </c:valAx>
      <c:spPr>
        <a:solidFill>
          <a:srgbClr val="FFFFFF"/>
        </a:solidFill>
        <a:ln w="25400">
          <a:noFill/>
        </a:ln>
      </c:spPr>
    </c:plotArea>
    <c:legend>
      <c:legendPos val="r"/>
      <c:layout/>
      <c:spPr>
        <a:noFill/>
        <a:ln w="25400">
          <a:noFill/>
        </a:ln>
      </c:spPr>
    </c:legend>
    <c:plotVisOnly val="1"/>
    <c:dispBlanksAs val="gap"/>
  </c:chart>
  <c:spPr>
    <a:solidFill>
      <a:srgbClr val="FFFFFF"/>
    </a:solidFill>
    <a:ln w="3175">
      <a:solidFill>
        <a:srgbClr val="808080"/>
      </a:solidFill>
      <a:prstDash val="solid"/>
    </a:ln>
  </c:spPr>
  <c:printSettings>
    <c:headerFooter/>
    <c:pageMargins b="1" l="0.75000000000000011" r="0.750000000000000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style val="18"/>
  <c:chart>
    <c:title>
      <c:layout/>
      <c:spPr>
        <a:noFill/>
        <a:ln w="25400">
          <a:noFill/>
        </a:ln>
      </c:spPr>
    </c:title>
    <c:plotArea>
      <c:layout/>
      <c:pieChart>
        <c:varyColors val="1"/>
        <c:ser>
          <c:idx val="0"/>
          <c:order val="0"/>
          <c:tx>
            <c:strRef>
              <c:f>'Metric Breakdown'!$B$4</c:f>
              <c:strCache>
                <c:ptCount val="1"/>
                <c:pt idx="0">
                  <c:v># of Projects</c:v>
                </c:pt>
              </c:strCache>
            </c:strRef>
          </c:tx>
          <c:spPr>
            <a:gradFill rotWithShape="0">
              <a:gsLst>
                <a:gs pos="0">
                  <a:srgbClr val="9BC1FF"/>
                </a:gs>
                <a:gs pos="100000">
                  <a:srgbClr val="3F80CD"/>
                </a:gs>
              </a:gsLst>
              <a:lin ang="5400000"/>
            </a:gradFill>
            <a:ln w="25400">
              <a:noFill/>
            </a:ln>
            <a:effectLst>
              <a:outerShdw dist="35921" dir="2700000" algn="br">
                <a:srgbClr val="000000"/>
              </a:outerShdw>
            </a:effectLst>
          </c:spPr>
          <c:dPt>
            <c:idx val="0"/>
            <c:spPr/>
          </c:dPt>
          <c:dPt>
            <c:idx val="1"/>
            <c:spPr/>
          </c:dPt>
          <c:dPt>
            <c:idx val="2"/>
            <c:spPr/>
          </c:dPt>
          <c:dPt>
            <c:idx val="3"/>
            <c:spPr/>
          </c:dPt>
          <c:dPt>
            <c:idx val="4"/>
            <c:spPr/>
          </c:dPt>
          <c:dPt>
            <c:idx val="5"/>
            <c:spPr/>
          </c:dPt>
          <c:dPt>
            <c:idx val="6"/>
            <c:spPr/>
          </c:dPt>
          <c:dPt>
            <c:idx val="7"/>
            <c:spPr/>
          </c:dPt>
          <c:cat>
            <c:strRef>
              <c:f>'Metric Breakdown'!$A$5:$A$12</c:f>
              <c:strCache>
                <c:ptCount val="8"/>
                <c:pt idx="0">
                  <c:v>Music</c:v>
                </c:pt>
                <c:pt idx="1">
                  <c:v>Publishing </c:v>
                </c:pt>
                <c:pt idx="2">
                  <c:v>Art</c:v>
                </c:pt>
                <c:pt idx="3">
                  <c:v>Film &amp; Television</c:v>
                </c:pt>
                <c:pt idx="4">
                  <c:v>Food</c:v>
                </c:pt>
                <c:pt idx="5">
                  <c:v>Game</c:v>
                </c:pt>
                <c:pt idx="6">
                  <c:v>Performance</c:v>
                </c:pt>
                <c:pt idx="7">
                  <c:v>Design</c:v>
                </c:pt>
              </c:strCache>
            </c:strRef>
          </c:cat>
          <c:val>
            <c:numRef>
              <c:f>'Metric Breakdown'!$B$5:$B$12</c:f>
              <c:numCache>
                <c:formatCode>General</c:formatCode>
                <c:ptCount val="8"/>
                <c:pt idx="0">
                  <c:v>46</c:v>
                </c:pt>
                <c:pt idx="1">
                  <c:v>35</c:v>
                </c:pt>
                <c:pt idx="2">
                  <c:v>28</c:v>
                </c:pt>
                <c:pt idx="3">
                  <c:v>24</c:v>
                </c:pt>
                <c:pt idx="4">
                  <c:v>14</c:v>
                </c:pt>
                <c:pt idx="5">
                  <c:v>12</c:v>
                </c:pt>
                <c:pt idx="6">
                  <c:v>12</c:v>
                </c:pt>
                <c:pt idx="7">
                  <c:v>6</c:v>
                </c:pt>
              </c:numCache>
            </c:numRef>
          </c:val>
        </c:ser>
        <c:firstSliceAng val="0"/>
      </c:pieChart>
      <c:spPr>
        <a:noFill/>
        <a:ln w="25400">
          <a:noFill/>
        </a:ln>
      </c:spPr>
    </c:plotArea>
    <c:legend>
      <c:legendPos val="r"/>
      <c:layout/>
      <c:spPr>
        <a:noFill/>
        <a:ln w="25400">
          <a:noFill/>
        </a:ln>
      </c:spPr>
    </c:legend>
    <c:plotVisOnly val="1"/>
    <c:dispBlanksAs val="zero"/>
  </c:chart>
  <c:spPr>
    <a:solidFill>
      <a:srgbClr val="FFFFFF"/>
    </a:solidFill>
    <a:ln w="3175">
      <a:solidFill>
        <a:srgbClr val="808080"/>
      </a:solidFill>
      <a:prstDash val="solid"/>
    </a:ln>
  </c:spPr>
  <c:printSettings>
    <c:headerFooter/>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241300</xdr:colOff>
      <xdr:row>14</xdr:row>
      <xdr:rowOff>76200</xdr:rowOff>
    </xdr:from>
    <xdr:to>
      <xdr:col>6</xdr:col>
      <xdr:colOff>1955800</xdr:colOff>
      <xdr:row>49</xdr:row>
      <xdr:rowOff>88900</xdr:rowOff>
    </xdr:to>
    <xdr:graphicFrame macro="">
      <xdr:nvGraphicFramePr>
        <xdr:cNvPr id="21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50800</xdr:colOff>
      <xdr:row>0</xdr:row>
      <xdr:rowOff>0</xdr:rowOff>
    </xdr:from>
    <xdr:to>
      <xdr:col>14</xdr:col>
      <xdr:colOff>749300</xdr:colOff>
      <xdr:row>15</xdr:row>
      <xdr:rowOff>88900</xdr:rowOff>
    </xdr:to>
    <xdr:graphicFrame macro="">
      <xdr:nvGraphicFramePr>
        <xdr:cNvPr id="216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kickstarter.com/projects/519017465/running-clear-an-album-of-original-music-by-nate-g?ref=search" TargetMode="External"/><Relationship Id="rId117" Type="http://schemas.openxmlformats.org/officeDocument/2006/relationships/hyperlink" Target="http://www.kickstarter.com/projects/180823641/the-fable-farm-stage?ref=card" TargetMode="External"/><Relationship Id="rId21" Type="http://schemas.openxmlformats.org/officeDocument/2006/relationships/hyperlink" Target="http://www.kickstarter.com/projects/1379801877/small-schools-at-crossroads-in-vermont?ref=search" TargetMode="External"/><Relationship Id="rId42" Type="http://schemas.openxmlformats.org/officeDocument/2006/relationships/hyperlink" Target="http://www.kickstarter.com/projects/candlemarkandgleam/print-release-of-revisions-alice?ref=card" TargetMode="External"/><Relationship Id="rId47" Type="http://schemas.openxmlformats.org/officeDocument/2006/relationships/hyperlink" Target="http://www.kickstarter.com/projects/142993699/happy-jawbone-and-great-valleys-7-christmas-party?ref=card" TargetMode="External"/><Relationship Id="rId63" Type="http://schemas.openxmlformats.org/officeDocument/2006/relationships/hyperlink" Target="http://www.kickstarter.com/projects/1841934447/functional-poetry?ref=card" TargetMode="External"/><Relationship Id="rId68" Type="http://schemas.openxmlformats.org/officeDocument/2006/relationships/hyperlink" Target="http://www.kickstarter.com/projects/1674889308/a-defiant-dude?ref=live" TargetMode="External"/><Relationship Id="rId84" Type="http://schemas.openxmlformats.org/officeDocument/2006/relationships/hyperlink" Target="http://www.kickstarter.com/projects/sugarmtnfarm/building-a-butcher-shop-on-sugarmountainfarm?ref=search" TargetMode="External"/><Relationship Id="rId89" Type="http://schemas.openxmlformats.org/officeDocument/2006/relationships/hyperlink" Target="http://www.kickstarter.com/projects/180583317/dont-give-the-dog-sugar-with-his-tea?ref=card" TargetMode="External"/><Relationship Id="rId112" Type="http://schemas.openxmlformats.org/officeDocument/2006/relationships/hyperlink" Target="http://www.kickstarter.com/projects/sun-boxes/sun-boxes-in-vermont-state-parks?ref=search" TargetMode="External"/><Relationship Id="rId133" Type="http://schemas.openxmlformats.org/officeDocument/2006/relationships/hyperlink" Target="http://www.kickstarter.com/projects/1960403481/the-drawing-water-project?ref=live" TargetMode="External"/><Relationship Id="rId138" Type="http://schemas.openxmlformats.org/officeDocument/2006/relationships/hyperlink" Target="http://www.kickstarter.com/projects/danielalderriley/3d-print-shops-in-vermont-and-soon-near-you?ref=search" TargetMode="External"/><Relationship Id="rId154" Type="http://schemas.openxmlformats.org/officeDocument/2006/relationships/hyperlink" Target="http://www.kickstarter.com/projects/66417159/and-after-all?ref=home_location" TargetMode="External"/><Relationship Id="rId159" Type="http://schemas.openxmlformats.org/officeDocument/2006/relationships/hyperlink" Target="http://www.kickstarter.com/projects/158664997/liz-lovely-cookies-baking-a-difference?ref=live" TargetMode="External"/><Relationship Id="rId16" Type="http://schemas.openxmlformats.org/officeDocument/2006/relationships/hyperlink" Target="http://www.kickstarter.com/projects/1852350061/windborne-trio-with-wandring-feet?ref=card" TargetMode="External"/><Relationship Id="rId107" Type="http://schemas.openxmlformats.org/officeDocument/2006/relationships/hyperlink" Target="http://www.kickstarter.com/projects/315525878/the-sweet-spot?ref=card" TargetMode="External"/><Relationship Id="rId11" Type="http://schemas.openxmlformats.org/officeDocument/2006/relationships/hyperlink" Target="http://www.kickstarter.com/projects/1284053376/things-left-behind-sculptural-installation-residen?ref=search" TargetMode="External"/><Relationship Id="rId32" Type="http://schemas.openxmlformats.org/officeDocument/2006/relationships/hyperlink" Target="http://www.kickstarter.com/projects/1202983374/patch-notes-the-game?ref=card" TargetMode="External"/><Relationship Id="rId37" Type="http://schemas.openxmlformats.org/officeDocument/2006/relationships/hyperlink" Target="http://www.kickstarter.com/projects/joshuapanda/europe-or-bust-tour-and-album?ref=card" TargetMode="External"/><Relationship Id="rId53" Type="http://schemas.openxmlformats.org/officeDocument/2006/relationships/hyperlink" Target="http://www.kickstarter.com/projects/candlemarkandgleam/print-release-of-fly-into-fire?ref=card" TargetMode="External"/><Relationship Id="rId58" Type="http://schemas.openxmlformats.org/officeDocument/2006/relationships/hyperlink" Target="http://www.kickstarter.com/projects/rocknail/filabot-plastic-filament-maker?ref=search" TargetMode="External"/><Relationship Id="rId74" Type="http://schemas.openxmlformats.org/officeDocument/2006/relationships/hyperlink" Target="http://www.kickstarter.com/projects/1644616398/opus-24-student-composers?ref=search" TargetMode="External"/><Relationship Id="rId79" Type="http://schemas.openxmlformats.org/officeDocument/2006/relationships/hyperlink" Target="http://www.kickstarter.com/projects/candlemarkandgleam/print-release-of-i-crimsonstreak?ref=card" TargetMode="External"/><Relationship Id="rId102" Type="http://schemas.openxmlformats.org/officeDocument/2006/relationships/hyperlink" Target="http://www.kickstarter.com/projects/1159321528/artist-residency-at-the-vermont-studio-center?ref=search" TargetMode="External"/><Relationship Id="rId123" Type="http://schemas.openxmlformats.org/officeDocument/2006/relationships/hyperlink" Target="http://www.kickstarter.com/projects/148238669/breathe-life-into-the-we-love-yoga-childrens-book?ref=card" TargetMode="External"/><Relationship Id="rId128" Type="http://schemas.openxmlformats.org/officeDocument/2006/relationships/hyperlink" Target="http://www.kickstarter.com/projects/1183568052/the-gleanery?ref=card" TargetMode="External"/><Relationship Id="rId144" Type="http://schemas.openxmlformats.org/officeDocument/2006/relationships/hyperlink" Target="http://www.kickstarter.com/projects/6559583/tuberville-the-series-0?ref=city" TargetMode="External"/><Relationship Id="rId149" Type="http://schemas.openxmlformats.org/officeDocument/2006/relationships/hyperlink" Target="http://www.kickstarter.com/projects/1568534846/new-anne-riley-vermont-studio-center?ref=live" TargetMode="External"/><Relationship Id="rId5" Type="http://schemas.openxmlformats.org/officeDocument/2006/relationships/hyperlink" Target="http://www.kickstarter.com/projects/1626904184/radio-free-vermont-1st-annual-music-awards-concert?ref=search" TargetMode="External"/><Relationship Id="rId90" Type="http://schemas.openxmlformats.org/officeDocument/2006/relationships/hyperlink" Target="http://www.kickstarter.com/projects/1523642318/vermont-studio-center-residency-september-2012?ref=search" TargetMode="External"/><Relationship Id="rId95" Type="http://schemas.openxmlformats.org/officeDocument/2006/relationships/hyperlink" Target="http://www.kickstarter.com/projects/2114635001/moving-forward-and-coming-home?ref=card" TargetMode="External"/><Relationship Id="rId160" Type="http://schemas.openxmlformats.org/officeDocument/2006/relationships/hyperlink" Target="http://www.kickstarter.com/projects/854509743/dave-keller-goes-to-memphis-to-record-a-modern-sou?ref=home_location" TargetMode="External"/><Relationship Id="rId165" Type="http://schemas.openxmlformats.org/officeDocument/2006/relationships/hyperlink" Target="http://www.kickstarter.com/projects/972374390/flxit-baby?ref=live" TargetMode="External"/><Relationship Id="rId22" Type="http://schemas.openxmlformats.org/officeDocument/2006/relationships/hyperlink" Target="http://www.kickstarter.com/projects/685517644/energy-performance-testing-on-straw-bale-buildings?ref=card" TargetMode="External"/><Relationship Id="rId27" Type="http://schemas.openxmlformats.org/officeDocument/2006/relationships/hyperlink" Target="http://www.kickstarter.com/projects/1703429502/equinox-my-first-comic-genre-fantasy?ref=card" TargetMode="External"/><Relationship Id="rId43" Type="http://schemas.openxmlformats.org/officeDocument/2006/relationships/hyperlink" Target="http://www.kickstarter.com/projects/840980225/growing-rice-in-vermont?ref=search" TargetMode="External"/><Relationship Id="rId48" Type="http://schemas.openxmlformats.org/officeDocument/2006/relationships/hyperlink" Target="http://www.kickstarter.com/projects/cmmc/craig-mitchell-and-motor-city?ref=card" TargetMode="External"/><Relationship Id="rId64" Type="http://schemas.openxmlformats.org/officeDocument/2006/relationships/hyperlink" Target="http://www.kickstarter.com/projects/1628731261/loc-can-you-escape?ref=card" TargetMode="External"/><Relationship Id="rId69" Type="http://schemas.openxmlformats.org/officeDocument/2006/relationships/hyperlink" Target="http://www.kickstarter.com/projects/525503046/uncorrupted-smut?ref=card" TargetMode="External"/><Relationship Id="rId113" Type="http://schemas.openxmlformats.org/officeDocument/2006/relationships/hyperlink" Target="http://www.kickstarter.com/projects/socialband/vermont-poetry-and-song-project-0?ref=search" TargetMode="External"/><Relationship Id="rId118" Type="http://schemas.openxmlformats.org/officeDocument/2006/relationships/hyperlink" Target="http://www.kickstarter.com/projects/annasc/body-queeries-a-vermont-studio-center-project?ref=search" TargetMode="External"/><Relationship Id="rId134" Type="http://schemas.openxmlformats.org/officeDocument/2006/relationships/hyperlink" Target="http://www.kickstarter.com/projects/2004544589/the-holdster-mason-jar-mug?ref=card" TargetMode="External"/><Relationship Id="rId139" Type="http://schemas.openxmlformats.org/officeDocument/2006/relationships/hyperlink" Target="http://www.kickstarter.com/projects/2040999564/loveful-heights-cd-release?ref=card" TargetMode="External"/><Relationship Id="rId80" Type="http://schemas.openxmlformats.org/officeDocument/2006/relationships/hyperlink" Target="http://www.kickstarter.com/projects/262721984/more-space-bigger-paintings-vt-artists-week-2012?ref=card" TargetMode="External"/><Relationship Id="rId85" Type="http://schemas.openxmlformats.org/officeDocument/2006/relationships/hyperlink" Target="http://www.kickstarter.com/projects/2084358841/grey-the-lost-technology?ref=card" TargetMode="External"/><Relationship Id="rId150" Type="http://schemas.openxmlformats.org/officeDocument/2006/relationships/hyperlink" Target="http://www.kickstarter.com/projects/1069206956/sally-discovers-new-york?ref=home_location" TargetMode="External"/><Relationship Id="rId155" Type="http://schemas.openxmlformats.org/officeDocument/2006/relationships/hyperlink" Target="http://www.kickstarter.com/projects/1705472942/a-lifetime-of-vermont-people?ref=live" TargetMode="External"/><Relationship Id="rId12" Type="http://schemas.openxmlformats.org/officeDocument/2006/relationships/hyperlink" Target="http://www.kickstarter.com/projects/morgancahn/making-art-in-the-spring-what-a-wonderful-thing?ref=search" TargetMode="External"/><Relationship Id="rId17" Type="http://schemas.openxmlformats.org/officeDocument/2006/relationships/hyperlink" Target="http://www.kickstarter.com/projects/2042364209/heloise-and-the-savoir-faire-new-album?ref=card" TargetMode="External"/><Relationship Id="rId33" Type="http://schemas.openxmlformats.org/officeDocument/2006/relationships/hyperlink" Target="http://www.kickstarter.com/projects/905754281/my-country-is-the-world-key-to-peace-by-world-citi?ref=card" TargetMode="External"/><Relationship Id="rId38" Type="http://schemas.openxmlformats.org/officeDocument/2006/relationships/hyperlink" Target="http://www.kickstarter.com/projects/1524018629/vermont-joy-parades-new-album-0?ref=live" TargetMode="External"/><Relationship Id="rId59" Type="http://schemas.openxmlformats.org/officeDocument/2006/relationships/hyperlink" Target="http://www.kickstarter.com/projects/candlemarkandgleam/print-release-of-matchbox-girls?ref=card" TargetMode="External"/><Relationship Id="rId103" Type="http://schemas.openxmlformats.org/officeDocument/2006/relationships/hyperlink" Target="http://www.kickstarter.com/projects/candlemarkandgleam/print-release-of-green-light-delivery?ref=card" TargetMode="External"/><Relationship Id="rId108" Type="http://schemas.openxmlformats.org/officeDocument/2006/relationships/hyperlink" Target="http://www.kickstarter.com/projects/prettyflower/raising-awareness-about-drug-addiction-in-vermont?ref=search" TargetMode="External"/><Relationship Id="rId124" Type="http://schemas.openxmlformats.org/officeDocument/2006/relationships/hyperlink" Target="http://www.kickstarter.com/projects/nmeunier/a-how-to-guide-for-freelance-video-game-journalist?ref=card" TargetMode="External"/><Relationship Id="rId129" Type="http://schemas.openxmlformats.org/officeDocument/2006/relationships/hyperlink" Target="http://www.kickstarter.com/projects/bessklassenlandis/way-up-in-vermont-my-second-album-is-coming-your-w?ref=search" TargetMode="External"/><Relationship Id="rId54" Type="http://schemas.openxmlformats.org/officeDocument/2006/relationships/hyperlink" Target="http://www.kickstarter.com/projects/2114873551/rose-and-los-cohorts-ep-release-featuring-local-fa?ref=card" TargetMode="External"/><Relationship Id="rId70" Type="http://schemas.openxmlformats.org/officeDocument/2006/relationships/hyperlink" Target="http://www.kickstarter.com/projects/stevehartmann/waking-up-the-echoes?ref=card" TargetMode="External"/><Relationship Id="rId75" Type="http://schemas.openxmlformats.org/officeDocument/2006/relationships/hyperlink" Target="http://www.kickstarter.com/projects/691319382/barnarts-center-for-the-arts?ref=card" TargetMode="External"/><Relationship Id="rId91" Type="http://schemas.openxmlformats.org/officeDocument/2006/relationships/hyperlink" Target="http://www.kickstarter.com/projects/488140546/i-am-in-here-a-film-by-mark-utter?ref=search" TargetMode="External"/><Relationship Id="rId96" Type="http://schemas.openxmlformats.org/officeDocument/2006/relationships/hyperlink" Target="http://www.kickstarter.com/projects/1324539190/may-all-be?ref=card" TargetMode="External"/><Relationship Id="rId140" Type="http://schemas.openxmlformats.org/officeDocument/2006/relationships/hyperlink" Target="http://www.kickstarter.com/projects/1232568261/moreau-horrors?ref=card" TargetMode="External"/><Relationship Id="rId145" Type="http://schemas.openxmlformats.org/officeDocument/2006/relationships/hyperlink" Target="http://www.kickstarter.com/projects/1606140550/summit-school-winter-folk-music-festival-2013?ref=city" TargetMode="External"/><Relationship Id="rId161" Type="http://schemas.openxmlformats.org/officeDocument/2006/relationships/hyperlink" Target="http://www.kickstarter.com/projects/382474792/pure-maple-products-lets-work-to-save-maple-produc?ref=city" TargetMode="External"/><Relationship Id="rId166" Type="http://schemas.openxmlformats.org/officeDocument/2006/relationships/hyperlink" Target="http://www.kickstarter.com/projects/1357984261/dark-legacy?ref=home_location" TargetMode="External"/><Relationship Id="rId1" Type="http://schemas.openxmlformats.org/officeDocument/2006/relationships/hyperlink" Target="http://www.kickstarter.com/projects/MonsterBook/the-monster-book?ref=card" TargetMode="External"/><Relationship Id="rId6" Type="http://schemas.openxmlformats.org/officeDocument/2006/relationships/hyperlink" Target="http://www.kickstarter.com/projects/867206022/from-the-ground-up-0?ref=card" TargetMode="External"/><Relationship Id="rId15" Type="http://schemas.openxmlformats.org/officeDocument/2006/relationships/hyperlink" Target="http://www.kickstarter.com/projects/488319202/patch-cord-needs-your-help-to-record-their-debut-c?ref=card" TargetMode="External"/><Relationship Id="rId23" Type="http://schemas.openxmlformats.org/officeDocument/2006/relationships/hyperlink" Target="http://www.kickstarter.com/projects/natelarson/250-years-250-people-windsor-vermont?ref=search" TargetMode="External"/><Relationship Id="rId28" Type="http://schemas.openxmlformats.org/officeDocument/2006/relationships/hyperlink" Target="http://www.kickstarter.com/projects/750568338/a-printmaking-residency-at-vermont-studio-center?ref=search" TargetMode="External"/><Relationship Id="rId36" Type="http://schemas.openxmlformats.org/officeDocument/2006/relationships/hyperlink" Target="http://www.kickstarter.com/projects/41980551/song-catching-in-the-motherlands?ref=card" TargetMode="External"/><Relationship Id="rId49" Type="http://schemas.openxmlformats.org/officeDocument/2006/relationships/hyperlink" Target="http://www.kickstarter.com/projects/621593254/no-sh-t-the-history-of-wiping?ref=card" TargetMode="External"/><Relationship Id="rId57" Type="http://schemas.openxmlformats.org/officeDocument/2006/relationships/hyperlink" Target="http://www.kickstarter.com/projects/819769147/the-becoming-of-garamike?ref=card" TargetMode="External"/><Relationship Id="rId106" Type="http://schemas.openxmlformats.org/officeDocument/2006/relationships/hyperlink" Target="http://www.kickstarter.com/projects/1820878177/steampunk-inspired-midsummer-nights-dream-in-vermo?ref=search" TargetMode="External"/><Relationship Id="rId114" Type="http://schemas.openxmlformats.org/officeDocument/2006/relationships/hyperlink" Target="http://www.kickstarter.com/projects/1813409415/american-swag?ref=search" TargetMode="External"/><Relationship Id="rId119" Type="http://schemas.openxmlformats.org/officeDocument/2006/relationships/hyperlink" Target="http://www.kickstarter.com/projects/238604741/matt-townsends-first-record?ref=card" TargetMode="External"/><Relationship Id="rId127" Type="http://schemas.openxmlformats.org/officeDocument/2006/relationships/hyperlink" Target="http://www.kickstarter.com/projects/1189409550/ecce-bronies?ref=search" TargetMode="External"/><Relationship Id="rId10" Type="http://schemas.openxmlformats.org/officeDocument/2006/relationships/hyperlink" Target="http://www.kickstarter.com/projects/justinlevinson/lets-make-a-record-together?ref=card" TargetMode="External"/><Relationship Id="rId31" Type="http://schemas.openxmlformats.org/officeDocument/2006/relationships/hyperlink" Target="http://www.kickstarter.com/projects/256905182/janapar-trail-a-journey-through-nagorno-karabakh?ref=card" TargetMode="External"/><Relationship Id="rId44" Type="http://schemas.openxmlformats.org/officeDocument/2006/relationships/hyperlink" Target="http://www.kickstarter.com/projects/291714758/vermont-studio-center-residency?ref=search" TargetMode="External"/><Relationship Id="rId52" Type="http://schemas.openxmlformats.org/officeDocument/2006/relationships/hyperlink" Target="http://www.kickstarter.com/projects/kinkycreature/help-kinky-creature-record-an-ep?ref=card" TargetMode="External"/><Relationship Id="rId60" Type="http://schemas.openxmlformats.org/officeDocument/2006/relationships/hyperlink" Target="http://www.kickstarter.com/projects/878357944/pirogi-union?ref=card" TargetMode="External"/><Relationship Id="rId65" Type="http://schemas.openxmlformats.org/officeDocument/2006/relationships/hyperlink" Target="http://www.kickstarter.com/projects/1783912996/irie-furniture?ref=search" TargetMode="External"/><Relationship Id="rId73" Type="http://schemas.openxmlformats.org/officeDocument/2006/relationships/hyperlink" Target="http://www.kickstarter.com/projects/designerdougm/aura-tactics?ref=card" TargetMode="External"/><Relationship Id="rId78" Type="http://schemas.openxmlformats.org/officeDocument/2006/relationships/hyperlink" Target="http://www.kickstarter.com/projects/466941960/songfest-project?ref=card" TargetMode="External"/><Relationship Id="rId81" Type="http://schemas.openxmlformats.org/officeDocument/2006/relationships/hyperlink" Target="http://www.kickstarter.com/projects/1063252734/the-vermont-studio-center-artist-residency-program?ref=search" TargetMode="External"/><Relationship Id="rId86" Type="http://schemas.openxmlformats.org/officeDocument/2006/relationships/hyperlink" Target="http://www.kickstarter.com/projects/464697136/colorquilts-wooden-jigsaw-puzzle-2?ref=card" TargetMode="External"/><Relationship Id="rId94" Type="http://schemas.openxmlformats.org/officeDocument/2006/relationships/hyperlink" Target="http://www.kickstarter.com/projects/russianlife/groom-vladimirs-mustache?ref=card" TargetMode="External"/><Relationship Id="rId99" Type="http://schemas.openxmlformats.org/officeDocument/2006/relationships/hyperlink" Target="http://www.kickstarter.com/projects/1635253256/vermont-studio-residency?ref=search" TargetMode="External"/><Relationship Id="rId101" Type="http://schemas.openxmlformats.org/officeDocument/2006/relationships/hyperlink" Target="http://www.kickstarter.com/projects/2061392773/1919-to-20-20-rumination-animation?ref=card" TargetMode="External"/><Relationship Id="rId122" Type="http://schemas.openxmlformats.org/officeDocument/2006/relationships/hyperlink" Target="http://www.kickstarter.com/projects/908845204/the-bright-wings-chorus-is-headed-back-to-the-stud?ref=card" TargetMode="External"/><Relationship Id="rId130" Type="http://schemas.openxmlformats.org/officeDocument/2006/relationships/hyperlink" Target="http://www.kickstarter.com/projects/591102302/laurie-trok-artist-residency-at-vermont-studio-cen?ref=search" TargetMode="External"/><Relationship Id="rId135" Type="http://schemas.openxmlformats.org/officeDocument/2006/relationships/hyperlink" Target="http://www.kickstarter.com/projects/1608711300/send-kelly-to-vermont-to-make-incredible-art?ref=search" TargetMode="External"/><Relationship Id="rId143" Type="http://schemas.openxmlformats.org/officeDocument/2006/relationships/hyperlink" Target="http://www.kickstarter.com/projects/carolinerosemusic/caroline-rose-and-jer-coons-make-a-record?ref=card" TargetMode="External"/><Relationship Id="rId148" Type="http://schemas.openxmlformats.org/officeDocument/2006/relationships/hyperlink" Target="http://www.kickstarter.com/projects/563496605/powderjet-snowboards-do-more-with-less?ref=live" TargetMode="External"/><Relationship Id="rId151" Type="http://schemas.openxmlformats.org/officeDocument/2006/relationships/hyperlink" Target="http://www.kickstarter.com/projects/277399150/morganne-wakefield-vermont-studio-center-residency?ref=live" TargetMode="External"/><Relationship Id="rId156" Type="http://schemas.openxmlformats.org/officeDocument/2006/relationships/hyperlink" Target="http://www.kickstarter.com/projects/1704319458/hana-kornbluhs-new-album-tatterhood?ref=city" TargetMode="External"/><Relationship Id="rId164" Type="http://schemas.openxmlformats.org/officeDocument/2006/relationships/hyperlink" Target="http://www.kickstarter.com/projects/robotloveskitty/legend-of-dungeon?ref=home_location" TargetMode="External"/><Relationship Id="rId4" Type="http://schemas.openxmlformats.org/officeDocument/2006/relationships/hyperlink" Target="http://www.kickstarter.com/projects/redstagetheatre/red-stage-theatre-2010?ref=card" TargetMode="External"/><Relationship Id="rId9" Type="http://schemas.openxmlformats.org/officeDocument/2006/relationships/hyperlink" Target="http://www.kickstarter.com/projects/908845204/sing-zimbabwe-a-book-and-cd-of-traditional-choral?ref=card" TargetMode="External"/><Relationship Id="rId13" Type="http://schemas.openxmlformats.org/officeDocument/2006/relationships/hyperlink" Target="http://www.kickstarter.com/projects/2099602675/me-and-antoine-b-documentary?ref=card" TargetMode="External"/><Relationship Id="rId18" Type="http://schemas.openxmlformats.org/officeDocument/2006/relationships/hyperlink" Target="http://www.kickstarter.com/projects/thevacantlots/the-vacant-lots-are-heading-to-sxsw?ref=card" TargetMode="External"/><Relationship Id="rId39" Type="http://schemas.openxmlformats.org/officeDocument/2006/relationships/hyperlink" Target="http://www.kickstarter.com/projects/1496420787/the-endangered-alphabets-project?ref=search" TargetMode="External"/><Relationship Id="rId109" Type="http://schemas.openxmlformats.org/officeDocument/2006/relationships/hyperlink" Target="http://www.kickstarter.com/projects/639815597/life-gives-me-lemons-adventures-in-bad-luck?ref=card" TargetMode="External"/><Relationship Id="rId34" Type="http://schemas.openxmlformats.org/officeDocument/2006/relationships/hyperlink" Target="http://www.kickstarter.com/projects/1784149987/the-ramble-a-celebration-of-creativity-and-communi?ref=card" TargetMode="External"/><Relationship Id="rId50" Type="http://schemas.openxmlformats.org/officeDocument/2006/relationships/hyperlink" Target="http://www.kickstarter.com/projects/candlemarkandgleam/print-release-of-pilgrim-of-the-sky?ref=card" TargetMode="External"/><Relationship Id="rId55" Type="http://schemas.openxmlformats.org/officeDocument/2006/relationships/hyperlink" Target="http://www.kickstarter.com/projects/842575673/100-hours-of-free-music-lessons?ref=card" TargetMode="External"/><Relationship Id="rId76" Type="http://schemas.openxmlformats.org/officeDocument/2006/relationships/hyperlink" Target="http://www.kickstarter.com/projects/1916838531/quench-artspace?ref=search" TargetMode="External"/><Relationship Id="rId97" Type="http://schemas.openxmlformats.org/officeDocument/2006/relationships/hyperlink" Target="http://www.kickstarter.com/projects/1676873707/vedora-debut-album?ref=card" TargetMode="External"/><Relationship Id="rId104" Type="http://schemas.openxmlformats.org/officeDocument/2006/relationships/hyperlink" Target="http://www.kickstarter.com/projects/brandonstcyr/the-green-knight?ref=card" TargetMode="External"/><Relationship Id="rId120" Type="http://schemas.openxmlformats.org/officeDocument/2006/relationships/hyperlink" Target="http://www.kickstarter.com/projects/candlemarkandgleam/print-release-of-broken?ref=card" TargetMode="External"/><Relationship Id="rId125" Type="http://schemas.openxmlformats.org/officeDocument/2006/relationships/hyperlink" Target="http://www.kickstarter.com/projects/921310485/cheese-wonderland-a-shop-cafe-and-food-education-c?ref=card" TargetMode="External"/><Relationship Id="rId141" Type="http://schemas.openxmlformats.org/officeDocument/2006/relationships/hyperlink" Target="http://www.kickstarter.com/projects/1324801784/archer-mayors-the-lost-case-files?ref=city" TargetMode="External"/><Relationship Id="rId146" Type="http://schemas.openxmlformats.org/officeDocument/2006/relationships/hyperlink" Target="http://www.kickstarter.com/projects/468507363/songs-from-the-vermont-skies?ref=live" TargetMode="External"/><Relationship Id="rId167" Type="http://schemas.openxmlformats.org/officeDocument/2006/relationships/hyperlink" Target="http://www.kickstarter.com/projects/1633198200/joe-adler-records-debut-studio-album?ref=live" TargetMode="External"/><Relationship Id="rId7" Type="http://schemas.openxmlformats.org/officeDocument/2006/relationships/hyperlink" Target="http://www.kickstarter.com/projects/dawngraham/camera-on-a-string?ref=card" TargetMode="External"/><Relationship Id="rId71" Type="http://schemas.openxmlformats.org/officeDocument/2006/relationships/hyperlink" Target="http://www.kickstarter.com/projects/1690026959/anna-pardeniks-new-album?ref=search" TargetMode="External"/><Relationship Id="rId92" Type="http://schemas.openxmlformats.org/officeDocument/2006/relationships/hyperlink" Target="http://www.kickstarter.com/projects/candlemarkandgleam/print-release-of-a-series-of-ordinary-adventures?ref=card" TargetMode="External"/><Relationship Id="rId162" Type="http://schemas.openxmlformats.org/officeDocument/2006/relationships/hyperlink" Target="http://www.kickstarter.com/projects/markhaverty/sunrise-0?ref=home_location" TargetMode="External"/><Relationship Id="rId2" Type="http://schemas.openxmlformats.org/officeDocument/2006/relationships/hyperlink" Target="http://www.kickstarter.com/projects/171008359/participate-in-a-great-musical-endeavor-0?ref=card" TargetMode="External"/><Relationship Id="rId29" Type="http://schemas.openxmlformats.org/officeDocument/2006/relationships/hyperlink" Target="http://www.kickstarter.com/projects/candlemarkandgleam/print-release-of-erekos?ref=card" TargetMode="External"/><Relationship Id="rId24" Type="http://schemas.openxmlformats.org/officeDocument/2006/relationships/hyperlink" Target="http://www.kickstarter.com/projects/1644616398/vermont-midi-project-opus-22-student-composers?ref=live" TargetMode="External"/><Relationship Id="rId40" Type="http://schemas.openxmlformats.org/officeDocument/2006/relationships/hyperlink" Target="http://www.kickstarter.com/projects/1132273000/vermont-vacation?ref=search" TargetMode="External"/><Relationship Id="rId45" Type="http://schemas.openxmlformats.org/officeDocument/2006/relationships/hyperlink" Target="http://www.kickstarter.com/projects/meganbaehr/nonsuch-garden-safari-acrylic-charm-set?ref=card" TargetMode="External"/><Relationship Id="rId66" Type="http://schemas.openxmlformats.org/officeDocument/2006/relationships/hyperlink" Target="http://www.kickstarter.com/projects/1013891490/bring-free-speech-tv-to-burlington?ref=card" TargetMode="External"/><Relationship Id="rId87" Type="http://schemas.openxmlformats.org/officeDocument/2006/relationships/hyperlink" Target="http://www.kickstarter.com/projects/281808955/the-pursuit-a-global-quest-for-happiness?ref=card" TargetMode="External"/><Relationship Id="rId110" Type="http://schemas.openxmlformats.org/officeDocument/2006/relationships/hyperlink" Target="http://www.kickstarter.com/projects/1820727099/full-brogue-an-alternative-americana-album-release?ref=card" TargetMode="External"/><Relationship Id="rId115" Type="http://schemas.openxmlformats.org/officeDocument/2006/relationships/hyperlink" Target="http://www.kickstarter.com/projects/190861612/gorf-the-movie?ref=card" TargetMode="External"/><Relationship Id="rId131" Type="http://schemas.openxmlformats.org/officeDocument/2006/relationships/hyperlink" Target="http://www.kickstarter.com/projects/1271362101/deceptivecadence-an-international-thriller-an-unli?ref=card" TargetMode="External"/><Relationship Id="rId136" Type="http://schemas.openxmlformats.org/officeDocument/2006/relationships/hyperlink" Target="http://www.kickstarter.com/projects/963413484/orkestriskas-box?ref=card" TargetMode="External"/><Relationship Id="rId157" Type="http://schemas.openxmlformats.org/officeDocument/2006/relationships/hyperlink" Target="http://www.kickstarter.com/projects/72062118/philosophy-of-oneness-essays-substance-and-reflect?ref=home_location" TargetMode="External"/><Relationship Id="rId61" Type="http://schemas.openxmlformats.org/officeDocument/2006/relationships/hyperlink" Target="http://www.kickstarter.com/projects/johngillette/john-gillette-and-sarah-mittlefehldt-old-field-pin?ref=card" TargetMode="External"/><Relationship Id="rId82" Type="http://schemas.openxmlformats.org/officeDocument/2006/relationships/hyperlink" Target="http://www.kickstarter.com/projects/1305339778/marimba-from-0-8-mallets-cd-and-vinyl-album?ref=card" TargetMode="External"/><Relationship Id="rId152" Type="http://schemas.openxmlformats.org/officeDocument/2006/relationships/hyperlink" Target="http://www.kickstarter.com/projects/569079135/voices-of-montpelier?ref=live" TargetMode="External"/><Relationship Id="rId19" Type="http://schemas.openxmlformats.org/officeDocument/2006/relationships/hyperlink" Target="http://www.kickstarter.com/projects/dollfight/doll-fight-is-making-their-first-ep?ref=card" TargetMode="External"/><Relationship Id="rId14" Type="http://schemas.openxmlformats.org/officeDocument/2006/relationships/hyperlink" Target="http://www.kickstarter.com/projects/wsparks/cut-and-paste-a-whitney-sparks-creation?ref=search" TargetMode="External"/><Relationship Id="rId30" Type="http://schemas.openxmlformats.org/officeDocument/2006/relationships/hyperlink" Target="http://www.kickstarter.com/projects/462972179/the-bus-off-broadway-and-westboro-baptist-church?ref=card" TargetMode="External"/><Relationship Id="rId35" Type="http://schemas.openxmlformats.org/officeDocument/2006/relationships/hyperlink" Target="http://www.kickstarter.com/projects/1533201199/bearquarium-vinyl-were-going-to-the-moon-with-this?ref=card" TargetMode="External"/><Relationship Id="rId56" Type="http://schemas.openxmlformats.org/officeDocument/2006/relationships/hyperlink" Target="http://www.kickstarter.com/projects/1037253806/snow-sculpting-tools-for-team-vermont?ref=search" TargetMode="External"/><Relationship Id="rId77" Type="http://schemas.openxmlformats.org/officeDocument/2006/relationships/hyperlink" Target="http://www.kickstarter.com/projects/480554386/d-generation-an-exaltation-of-larks?ref=card" TargetMode="External"/><Relationship Id="rId100" Type="http://schemas.openxmlformats.org/officeDocument/2006/relationships/hyperlink" Target="http://www.kickstarter.com/projects/1255777359/bringing-world-renowned-ridiculous-theater-to-verm?ref=search" TargetMode="External"/><Relationship Id="rId105" Type="http://schemas.openxmlformats.org/officeDocument/2006/relationships/hyperlink" Target="http://www.kickstarter.com/projects/russianlife/the-silk-road-trilogy?ref=card" TargetMode="External"/><Relationship Id="rId126" Type="http://schemas.openxmlformats.org/officeDocument/2006/relationships/hyperlink" Target="http://www.kickstarter.com/projects/545345271/new-work-vermont-studio-center-2012?ref=search" TargetMode="External"/><Relationship Id="rId147" Type="http://schemas.openxmlformats.org/officeDocument/2006/relationships/hyperlink" Target="http://www.kickstarter.com/projects/2006752510/fragile-home-art-looks-at-our-vulnerable-world?ref=city" TargetMode="External"/><Relationship Id="rId168" Type="http://schemas.openxmlformats.org/officeDocument/2006/relationships/hyperlink" Target="http://www.kickstarter.com/projects/1215143917/wyoming-territory-a-new-solo-album-from-kristina-s?ref=home_location" TargetMode="External"/><Relationship Id="rId8" Type="http://schemas.openxmlformats.org/officeDocument/2006/relationships/hyperlink" Target="http://www.kickstarter.com/projects/318838987/prove-that-everyone-can-dance-and-feed-the-ape?ref=search" TargetMode="External"/><Relationship Id="rId51" Type="http://schemas.openxmlformats.org/officeDocument/2006/relationships/hyperlink" Target="http://www.kickstarter.com/projects/675539415/andre-soulignys-first-studio-recording-bright-half?ref=search" TargetMode="External"/><Relationship Id="rId72" Type="http://schemas.openxmlformats.org/officeDocument/2006/relationships/hyperlink" Target="http://www.kickstarter.com/projects/hottamaleco/hot-tamale-co-0?ref=card" TargetMode="External"/><Relationship Id="rId93" Type="http://schemas.openxmlformats.org/officeDocument/2006/relationships/hyperlink" Target="http://www.kickstarter.com/projects/1956618325/help-the-dirty-blondes-sex-the-elastic?ref=card" TargetMode="External"/><Relationship Id="rId98" Type="http://schemas.openxmlformats.org/officeDocument/2006/relationships/hyperlink" Target="http://www.kickstarter.com/projects/932502634/a-better-nut-butter?ref=search" TargetMode="External"/><Relationship Id="rId121" Type="http://schemas.openxmlformats.org/officeDocument/2006/relationships/hyperlink" Target="http://www.kickstarter.com/projects/2049726758/queen-city-dry-goods-waxed-canvas-racer-jacket-lau?ref=search" TargetMode="External"/><Relationship Id="rId142" Type="http://schemas.openxmlformats.org/officeDocument/2006/relationships/hyperlink" Target="http://www.kickstarter.com/projects/802366567/sabra-field-printmaker?ref=search" TargetMode="External"/><Relationship Id="rId163" Type="http://schemas.openxmlformats.org/officeDocument/2006/relationships/hyperlink" Target="http://www.kickstarter.com/projects/309813187/the-burlington-writers-workshop-anthology-2013?ref=home_location" TargetMode="External"/><Relationship Id="rId3" Type="http://schemas.openxmlformats.org/officeDocument/2006/relationships/hyperlink" Target="http://www.kickstarter.com/projects/400787346/the-hale-street-gangs-vermont-debut?ref=live" TargetMode="External"/><Relationship Id="rId25" Type="http://schemas.openxmlformats.org/officeDocument/2006/relationships/hyperlink" Target="http://www.kickstarter.com/projects/intotherhine/into-the-rhines-veggie-oil-conversion?ref=search" TargetMode="External"/><Relationship Id="rId46" Type="http://schemas.openxmlformats.org/officeDocument/2006/relationships/hyperlink" Target="http://www.kickstarter.com/projects/1766362025/spitjack-is-recording-a-new-ep?ref=card" TargetMode="External"/><Relationship Id="rId67" Type="http://schemas.openxmlformats.org/officeDocument/2006/relationships/hyperlink" Target="http://www.kickstarter.com/projects/1735103142/conquest?ref=card" TargetMode="External"/><Relationship Id="rId116" Type="http://schemas.openxmlformats.org/officeDocument/2006/relationships/hyperlink" Target="http://www.kickstarter.com/projects/candlemarkandgleam/print-release-of-the-spark?ref=card" TargetMode="External"/><Relationship Id="rId137" Type="http://schemas.openxmlformats.org/officeDocument/2006/relationships/hyperlink" Target="http://www.kickstarter.com/projects/1284431733/mfangano-bicycle-documentary?ref=card" TargetMode="External"/><Relationship Id="rId158" Type="http://schemas.openxmlformats.org/officeDocument/2006/relationships/hyperlink" Target="http://www.kickstarter.com/projects/wdteagueexhibit/a-granddaughters-response?ref=home_location" TargetMode="External"/><Relationship Id="rId20" Type="http://schemas.openxmlformats.org/officeDocument/2006/relationships/hyperlink" Target="http://www.kickstarter.com/projects/684592644/sabertooth-bakery-100-vegan-baked-goods-bicycle-ca?ref=search" TargetMode="External"/><Relationship Id="rId41" Type="http://schemas.openxmlformats.org/officeDocument/2006/relationships/hyperlink" Target="http://www.kickstarter.com/projects/464697136/colorquilts-wooden-jigsaw-puzzle?ref=card" TargetMode="External"/><Relationship Id="rId62" Type="http://schemas.openxmlformats.org/officeDocument/2006/relationships/hyperlink" Target="http://www.kickstarter.com/projects/409441055/rachel-herzers-artist-residency-at-vermont-studio?ref=search" TargetMode="External"/><Relationship Id="rId83" Type="http://schemas.openxmlformats.org/officeDocument/2006/relationships/hyperlink" Target="http://www.kickstarter.com/projects/76587438/guerrilla-tour-2012-toni-atari?ref=card" TargetMode="External"/><Relationship Id="rId88" Type="http://schemas.openxmlformats.org/officeDocument/2006/relationships/hyperlink" Target="http://www.kickstarter.com/projects/686834347/barn-again-vermonts-another-button-farm?ref=search" TargetMode="External"/><Relationship Id="rId111" Type="http://schemas.openxmlformats.org/officeDocument/2006/relationships/hyperlink" Target="http://www.kickstarter.com/projects/731683241/al-ducci-di-notte-a-neighborhood-trattoria?ref=card" TargetMode="External"/><Relationship Id="rId132" Type="http://schemas.openxmlformats.org/officeDocument/2006/relationships/hyperlink" Target="http://www.kickstarter.com/projects/972863974/rescue-the-big-picture-movie-theater?ref=card" TargetMode="External"/><Relationship Id="rId153" Type="http://schemas.openxmlformats.org/officeDocument/2006/relationships/hyperlink" Target="http://www.kickstarter.com/projects/235672471/cycling-through-depression?ref=home_loca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S211"/>
  <sheetViews>
    <sheetView showGridLines="0" tabSelected="1" workbookViewId="0">
      <pane ySplit="1" topLeftCell="A2" activePane="bottomLeft" state="frozen"/>
      <selection pane="bottomLeft" activeCell="F192" sqref="F192"/>
    </sheetView>
  </sheetViews>
  <sheetFormatPr defaultColWidth="10.25" defaultRowHeight="20.100000000000001" customHeight="1"/>
  <cols>
    <col min="1" max="1" width="9.75" style="1" customWidth="1"/>
    <col min="2" max="2" width="19.875" style="1" customWidth="1"/>
    <col min="3" max="3" width="11.25" style="1" bestFit="1" customWidth="1"/>
    <col min="4" max="4" width="12.75" style="1" bestFit="1" customWidth="1"/>
    <col min="5" max="5" width="13.875" style="1" customWidth="1"/>
    <col min="6" max="6" width="9.125" style="1" customWidth="1"/>
    <col min="7" max="7" width="8.25" style="1" bestFit="1" customWidth="1"/>
    <col min="8" max="8" width="13.625" style="1" customWidth="1"/>
    <col min="9" max="9" width="10.375" style="1" customWidth="1"/>
    <col min="10" max="10" width="12.875" style="1" customWidth="1"/>
    <col min="11" max="11" width="11.25" style="1" bestFit="1" customWidth="1"/>
    <col min="12" max="12" width="6.25" style="1" customWidth="1"/>
    <col min="13" max="13" width="7.25" style="1" bestFit="1" customWidth="1"/>
    <col min="14" max="14" width="10.125" style="1" bestFit="1" customWidth="1"/>
    <col min="15" max="15" width="9" style="1" customWidth="1"/>
    <col min="16" max="16" width="9.625" style="1" customWidth="1"/>
    <col min="17" max="17" width="8.625" style="1" customWidth="1"/>
    <col min="18" max="16384" width="10.25" style="1"/>
  </cols>
  <sheetData>
    <row r="1" spans="1:19" ht="24">
      <c r="A1" s="2" t="s">
        <v>541</v>
      </c>
      <c r="B1" s="2" t="s">
        <v>542</v>
      </c>
      <c r="C1" s="2" t="s">
        <v>543</v>
      </c>
      <c r="D1" s="3" t="s">
        <v>544</v>
      </c>
      <c r="E1" s="3" t="s">
        <v>545</v>
      </c>
      <c r="F1" s="2" t="s">
        <v>546</v>
      </c>
      <c r="G1" s="2" t="s">
        <v>547</v>
      </c>
      <c r="H1" s="2" t="s">
        <v>548</v>
      </c>
      <c r="I1" s="4" t="s">
        <v>591</v>
      </c>
      <c r="J1" s="4" t="s">
        <v>549</v>
      </c>
      <c r="K1" s="4" t="s">
        <v>550</v>
      </c>
      <c r="L1" s="4" t="s">
        <v>551</v>
      </c>
      <c r="M1" s="4" t="s">
        <v>552</v>
      </c>
      <c r="N1" s="4" t="s">
        <v>553</v>
      </c>
      <c r="O1" s="4" t="s">
        <v>554</v>
      </c>
      <c r="P1" s="4" t="s">
        <v>555</v>
      </c>
      <c r="Q1" s="4" t="s">
        <v>556</v>
      </c>
      <c r="R1" s="4"/>
      <c r="S1" s="4"/>
    </row>
    <row r="2" spans="1:19" ht="72">
      <c r="A2" s="5" t="s">
        <v>637</v>
      </c>
      <c r="B2" s="20" t="s">
        <v>638</v>
      </c>
      <c r="C2" s="6" t="s">
        <v>639</v>
      </c>
      <c r="D2" s="7">
        <v>1000</v>
      </c>
      <c r="E2" s="7">
        <v>1075</v>
      </c>
      <c r="F2" s="81">
        <v>107</v>
      </c>
      <c r="G2" s="8">
        <v>33</v>
      </c>
      <c r="H2" s="8">
        <v>31</v>
      </c>
      <c r="I2" s="9">
        <v>38729</v>
      </c>
      <c r="J2" s="9">
        <v>38806</v>
      </c>
      <c r="K2" s="10">
        <v>79</v>
      </c>
      <c r="L2" s="10">
        <v>6</v>
      </c>
      <c r="M2" s="10">
        <v>7</v>
      </c>
      <c r="N2" s="11" t="s">
        <v>640</v>
      </c>
      <c r="O2" s="11" t="s">
        <v>640</v>
      </c>
      <c r="P2" s="11" t="s">
        <v>641</v>
      </c>
      <c r="Q2" s="11" t="s">
        <v>642</v>
      </c>
      <c r="R2" s="11"/>
      <c r="S2" s="11"/>
    </row>
    <row r="3" spans="1:19" ht="72">
      <c r="A3" s="5" t="s">
        <v>583</v>
      </c>
      <c r="B3" s="20" t="s">
        <v>584</v>
      </c>
      <c r="C3" s="6" t="s">
        <v>585</v>
      </c>
      <c r="D3" s="7">
        <v>3000</v>
      </c>
      <c r="E3" s="7">
        <v>3335</v>
      </c>
      <c r="F3" s="81">
        <v>111</v>
      </c>
      <c r="G3" s="8">
        <v>46</v>
      </c>
      <c r="H3" s="8">
        <v>0</v>
      </c>
      <c r="I3" s="9">
        <v>38819</v>
      </c>
      <c r="J3" s="9">
        <v>38873</v>
      </c>
      <c r="K3" s="10">
        <v>55</v>
      </c>
      <c r="L3" s="10">
        <v>5</v>
      </c>
      <c r="M3" s="10">
        <v>3</v>
      </c>
      <c r="N3" s="11" t="s">
        <v>586</v>
      </c>
      <c r="O3" s="11" t="s">
        <v>587</v>
      </c>
      <c r="P3" s="11" t="s">
        <v>588</v>
      </c>
      <c r="Q3" s="11" t="s">
        <v>586</v>
      </c>
      <c r="R3" s="11"/>
      <c r="S3" s="11"/>
    </row>
    <row r="4" spans="1:19" ht="72">
      <c r="A4" s="5" t="s">
        <v>589</v>
      </c>
      <c r="B4" s="20" t="s">
        <v>574</v>
      </c>
      <c r="C4" s="6" t="s">
        <v>575</v>
      </c>
      <c r="D4" s="7">
        <v>5000</v>
      </c>
      <c r="E4" s="7">
        <v>5020</v>
      </c>
      <c r="F4" s="81">
        <v>100</v>
      </c>
      <c r="G4" s="8">
        <v>42</v>
      </c>
      <c r="H4" s="8">
        <v>41</v>
      </c>
      <c r="I4" s="9">
        <v>38821</v>
      </c>
      <c r="J4" s="9">
        <v>38910</v>
      </c>
      <c r="K4" s="10">
        <v>29</v>
      </c>
      <c r="L4" s="10">
        <v>26</v>
      </c>
      <c r="M4" s="10">
        <v>1</v>
      </c>
      <c r="N4" s="11" t="s">
        <v>576</v>
      </c>
      <c r="O4" s="11" t="s">
        <v>577</v>
      </c>
      <c r="P4" s="11" t="s">
        <v>641</v>
      </c>
      <c r="Q4" s="11" t="s">
        <v>578</v>
      </c>
      <c r="R4" s="11"/>
      <c r="S4" s="11"/>
    </row>
    <row r="5" spans="1:19" ht="72">
      <c r="A5" s="5" t="s">
        <v>579</v>
      </c>
      <c r="B5" s="20" t="s">
        <v>501</v>
      </c>
      <c r="C5" s="6" t="s">
        <v>639</v>
      </c>
      <c r="D5" s="7">
        <v>5000</v>
      </c>
      <c r="E5" s="7">
        <v>5196</v>
      </c>
      <c r="F5" s="81">
        <v>103</v>
      </c>
      <c r="G5" s="8">
        <v>32</v>
      </c>
      <c r="H5" s="8">
        <v>16</v>
      </c>
      <c r="I5" s="9">
        <v>38860</v>
      </c>
      <c r="J5" s="9">
        <v>38917</v>
      </c>
      <c r="K5" s="10">
        <v>57</v>
      </c>
      <c r="L5" s="10">
        <v>0</v>
      </c>
      <c r="M5" s="10">
        <v>0</v>
      </c>
      <c r="N5" s="11" t="s">
        <v>502</v>
      </c>
      <c r="O5" s="11" t="s">
        <v>577</v>
      </c>
      <c r="P5" s="11" t="s">
        <v>641</v>
      </c>
      <c r="Q5" s="11" t="s">
        <v>502</v>
      </c>
      <c r="R5" s="11"/>
      <c r="S5" s="11"/>
    </row>
    <row r="6" spans="1:19" ht="72">
      <c r="A6" s="5" t="s">
        <v>503</v>
      </c>
      <c r="B6" s="20" t="s">
        <v>504</v>
      </c>
      <c r="C6" s="6" t="s">
        <v>505</v>
      </c>
      <c r="D6" s="7">
        <v>5000</v>
      </c>
      <c r="E6" s="7">
        <v>200</v>
      </c>
      <c r="F6" s="81">
        <v>4</v>
      </c>
      <c r="G6" s="8">
        <v>3</v>
      </c>
      <c r="H6" s="8">
        <v>61</v>
      </c>
      <c r="I6" s="9">
        <v>38882</v>
      </c>
      <c r="J6" s="9">
        <v>38928</v>
      </c>
      <c r="K6" s="10">
        <v>45</v>
      </c>
      <c r="L6" s="10">
        <v>0</v>
      </c>
      <c r="M6" s="10">
        <v>1</v>
      </c>
      <c r="N6" s="11" t="s">
        <v>506</v>
      </c>
      <c r="O6" s="11" t="s">
        <v>587</v>
      </c>
      <c r="P6" s="11" t="s">
        <v>641</v>
      </c>
      <c r="Q6" s="11" t="s">
        <v>507</v>
      </c>
      <c r="R6" s="11"/>
      <c r="S6" s="11"/>
    </row>
    <row r="7" spans="1:19" ht="60">
      <c r="A7" s="5" t="s">
        <v>619</v>
      </c>
      <c r="B7" s="20" t="s">
        <v>629</v>
      </c>
      <c r="C7" s="6" t="s">
        <v>639</v>
      </c>
      <c r="D7" s="7">
        <v>1500</v>
      </c>
      <c r="E7" s="7">
        <v>1500</v>
      </c>
      <c r="F7" s="81">
        <v>100</v>
      </c>
      <c r="G7" s="8">
        <v>25</v>
      </c>
      <c r="H7" s="8">
        <v>34</v>
      </c>
      <c r="I7" s="9">
        <v>38892</v>
      </c>
      <c r="J7" s="9">
        <v>38936</v>
      </c>
      <c r="K7" s="10">
        <v>45</v>
      </c>
      <c r="L7" s="10">
        <v>11</v>
      </c>
      <c r="M7" s="10">
        <v>5</v>
      </c>
      <c r="N7" s="11" t="s">
        <v>630</v>
      </c>
      <c r="O7" s="11" t="s">
        <v>630</v>
      </c>
      <c r="P7" s="11" t="s">
        <v>631</v>
      </c>
      <c r="Q7" s="11" t="s">
        <v>632</v>
      </c>
      <c r="R7" s="11"/>
      <c r="S7" s="11"/>
    </row>
    <row r="8" spans="1:19" ht="60">
      <c r="A8" s="5" t="s">
        <v>633</v>
      </c>
      <c r="B8" s="20" t="s">
        <v>634</v>
      </c>
      <c r="C8" s="6" t="s">
        <v>639</v>
      </c>
      <c r="D8" s="7">
        <v>1000</v>
      </c>
      <c r="E8" s="7">
        <v>1167</v>
      </c>
      <c r="F8" s="81">
        <v>116</v>
      </c>
      <c r="G8" s="8">
        <v>35</v>
      </c>
      <c r="H8" s="8">
        <v>85</v>
      </c>
      <c r="I8" s="9">
        <v>38964</v>
      </c>
      <c r="J8" s="9">
        <v>39009</v>
      </c>
      <c r="K8" s="10">
        <v>45</v>
      </c>
      <c r="L8" s="10">
        <v>10</v>
      </c>
      <c r="M8" s="10">
        <v>4</v>
      </c>
      <c r="N8" s="11" t="s">
        <v>533</v>
      </c>
      <c r="O8" s="11" t="s">
        <v>615</v>
      </c>
      <c r="P8" s="11" t="s">
        <v>641</v>
      </c>
      <c r="Q8" s="11" t="s">
        <v>533</v>
      </c>
      <c r="R8" s="11"/>
      <c r="S8" s="11"/>
    </row>
    <row r="9" spans="1:19" ht="72">
      <c r="A9" s="5" t="s">
        <v>535</v>
      </c>
      <c r="B9" s="20" t="s">
        <v>602</v>
      </c>
      <c r="C9" s="6" t="s">
        <v>639</v>
      </c>
      <c r="D9" s="7">
        <v>2000</v>
      </c>
      <c r="E9" s="7">
        <v>2212</v>
      </c>
      <c r="F9" s="81">
        <v>110</v>
      </c>
      <c r="G9" s="8">
        <v>53</v>
      </c>
      <c r="H9" s="8">
        <v>104</v>
      </c>
      <c r="I9" s="9">
        <v>38995</v>
      </c>
      <c r="J9" s="9">
        <v>39025</v>
      </c>
      <c r="K9" s="10">
        <v>30</v>
      </c>
      <c r="L9" s="10">
        <v>4</v>
      </c>
      <c r="M9" s="10">
        <v>0</v>
      </c>
      <c r="N9" s="11" t="s">
        <v>603</v>
      </c>
      <c r="O9" s="11" t="s">
        <v>577</v>
      </c>
      <c r="P9" s="11" t="s">
        <v>604</v>
      </c>
      <c r="Q9" s="11" t="s">
        <v>603</v>
      </c>
      <c r="R9" s="11"/>
      <c r="S9" s="11"/>
    </row>
    <row r="10" spans="1:19" ht="96">
      <c r="A10" s="5" t="s">
        <v>622</v>
      </c>
      <c r="B10" s="20" t="s">
        <v>524</v>
      </c>
      <c r="C10" s="6" t="s">
        <v>585</v>
      </c>
      <c r="D10" s="7">
        <v>3000</v>
      </c>
      <c r="E10" s="7">
        <v>3477</v>
      </c>
      <c r="F10" s="81">
        <v>115</v>
      </c>
      <c r="G10" s="8">
        <v>62</v>
      </c>
      <c r="H10" s="8">
        <v>42</v>
      </c>
      <c r="I10" s="9">
        <v>39007</v>
      </c>
      <c r="J10" s="9">
        <v>39042</v>
      </c>
      <c r="K10" s="10">
        <v>32</v>
      </c>
      <c r="L10" s="10">
        <v>9</v>
      </c>
      <c r="M10" s="10">
        <v>0</v>
      </c>
      <c r="N10" s="11" t="s">
        <v>525</v>
      </c>
      <c r="O10" s="11" t="s">
        <v>587</v>
      </c>
      <c r="P10" s="11" t="s">
        <v>588</v>
      </c>
      <c r="Q10" s="11" t="s">
        <v>526</v>
      </c>
      <c r="R10" s="11"/>
      <c r="S10" s="11"/>
    </row>
    <row r="11" spans="1:19" ht="60">
      <c r="A11" s="5" t="s">
        <v>527</v>
      </c>
      <c r="B11" s="20" t="s">
        <v>626</v>
      </c>
      <c r="C11" s="6" t="s">
        <v>639</v>
      </c>
      <c r="D11" s="7">
        <v>1000</v>
      </c>
      <c r="E11" s="7">
        <v>1000</v>
      </c>
      <c r="F11" s="81">
        <v>100</v>
      </c>
      <c r="G11" s="8">
        <v>25</v>
      </c>
      <c r="H11" s="8">
        <v>140</v>
      </c>
      <c r="I11" s="9">
        <v>39034</v>
      </c>
      <c r="J11" s="9">
        <v>39124</v>
      </c>
      <c r="K11" s="10">
        <v>80</v>
      </c>
      <c r="L11" s="10">
        <v>0</v>
      </c>
      <c r="M11" s="10">
        <v>0</v>
      </c>
      <c r="N11" s="11" t="s">
        <v>506</v>
      </c>
      <c r="O11" s="11" t="s">
        <v>587</v>
      </c>
      <c r="P11" s="11" t="s">
        <v>641</v>
      </c>
      <c r="Q11" s="11" t="s">
        <v>627</v>
      </c>
      <c r="R11" s="11"/>
      <c r="S11" s="11"/>
    </row>
    <row r="12" spans="1:19" ht="72">
      <c r="A12" s="5" t="s">
        <v>611</v>
      </c>
      <c r="B12" s="20" t="s">
        <v>612</v>
      </c>
      <c r="C12" s="6" t="s">
        <v>613</v>
      </c>
      <c r="D12" s="7">
        <v>800</v>
      </c>
      <c r="E12" s="7">
        <v>1025</v>
      </c>
      <c r="F12" s="81">
        <v>128</v>
      </c>
      <c r="G12" s="8">
        <v>27</v>
      </c>
      <c r="H12" s="8">
        <v>59</v>
      </c>
      <c r="I12" s="9">
        <v>39043</v>
      </c>
      <c r="J12" s="9">
        <v>39098</v>
      </c>
      <c r="K12" s="10">
        <v>55</v>
      </c>
      <c r="L12" s="10">
        <v>4</v>
      </c>
      <c r="M12" s="10">
        <v>0</v>
      </c>
      <c r="N12" s="11" t="s">
        <v>614</v>
      </c>
      <c r="O12" s="11" t="s">
        <v>615</v>
      </c>
      <c r="P12" s="11" t="s">
        <v>641</v>
      </c>
      <c r="Q12" s="11" t="s">
        <v>616</v>
      </c>
      <c r="R12" s="11"/>
      <c r="S12" s="11"/>
    </row>
    <row r="13" spans="1:19" ht="72">
      <c r="A13" s="5" t="s">
        <v>617</v>
      </c>
      <c r="B13" s="20" t="s">
        <v>618</v>
      </c>
      <c r="C13" s="6" t="s">
        <v>613</v>
      </c>
      <c r="D13" s="7">
        <v>2300</v>
      </c>
      <c r="E13" s="7">
        <v>2888</v>
      </c>
      <c r="F13" s="81">
        <v>125</v>
      </c>
      <c r="G13" s="8">
        <v>57</v>
      </c>
      <c r="H13" s="8">
        <v>83</v>
      </c>
      <c r="I13" s="9">
        <v>39044</v>
      </c>
      <c r="J13" s="9">
        <v>39089</v>
      </c>
      <c r="K13" s="10">
        <v>45</v>
      </c>
      <c r="L13" s="10">
        <v>15</v>
      </c>
      <c r="M13" s="10">
        <v>1</v>
      </c>
      <c r="N13" s="11" t="s">
        <v>531</v>
      </c>
      <c r="O13" s="11" t="s">
        <v>615</v>
      </c>
      <c r="P13" s="11" t="s">
        <v>641</v>
      </c>
      <c r="Q13" s="11" t="s">
        <v>616</v>
      </c>
      <c r="R13" s="11"/>
      <c r="S13" s="11"/>
    </row>
    <row r="14" spans="1:19" ht="72">
      <c r="A14" s="5" t="s">
        <v>532</v>
      </c>
      <c r="B14" s="20" t="s">
        <v>474</v>
      </c>
      <c r="C14" s="6" t="s">
        <v>505</v>
      </c>
      <c r="D14" s="7">
        <v>2000</v>
      </c>
      <c r="E14" s="7">
        <v>2260</v>
      </c>
      <c r="F14" s="81">
        <v>112</v>
      </c>
      <c r="G14" s="8">
        <v>31</v>
      </c>
      <c r="H14" s="8">
        <v>96</v>
      </c>
      <c r="I14" s="9">
        <v>39047</v>
      </c>
      <c r="J14" s="9">
        <v>39077</v>
      </c>
      <c r="K14" s="10">
        <v>30</v>
      </c>
      <c r="L14" s="10">
        <v>1</v>
      </c>
      <c r="M14" s="10">
        <v>0</v>
      </c>
      <c r="N14" s="11" t="s">
        <v>475</v>
      </c>
      <c r="O14" s="11" t="s">
        <v>176</v>
      </c>
      <c r="P14" s="11" t="s">
        <v>641</v>
      </c>
      <c r="Q14" s="11" t="s">
        <v>475</v>
      </c>
      <c r="R14" s="11"/>
      <c r="S14" s="11"/>
    </row>
    <row r="15" spans="1:19" ht="72">
      <c r="A15" s="5" t="s">
        <v>476</v>
      </c>
      <c r="B15" s="20" t="s">
        <v>477</v>
      </c>
      <c r="C15" s="6" t="s">
        <v>613</v>
      </c>
      <c r="D15" s="7">
        <v>1000</v>
      </c>
      <c r="E15" s="7">
        <v>1530</v>
      </c>
      <c r="F15" s="81">
        <v>153</v>
      </c>
      <c r="G15" s="8">
        <v>22</v>
      </c>
      <c r="H15" s="8">
        <v>33</v>
      </c>
      <c r="I15" s="9">
        <v>39060</v>
      </c>
      <c r="J15" s="9">
        <v>39092</v>
      </c>
      <c r="K15" s="10">
        <v>32</v>
      </c>
      <c r="L15" s="10">
        <v>0</v>
      </c>
      <c r="M15" s="10">
        <v>1</v>
      </c>
      <c r="N15" s="11" t="s">
        <v>533</v>
      </c>
      <c r="O15" s="11" t="s">
        <v>615</v>
      </c>
      <c r="P15" s="11" t="s">
        <v>641</v>
      </c>
      <c r="Q15" s="11" t="s">
        <v>616</v>
      </c>
      <c r="R15" s="11"/>
      <c r="S15" s="11"/>
    </row>
    <row r="16" spans="1:19" ht="72">
      <c r="A16" s="5" t="s">
        <v>478</v>
      </c>
      <c r="B16" s="20" t="s">
        <v>479</v>
      </c>
      <c r="C16" s="6" t="s">
        <v>480</v>
      </c>
      <c r="D16" s="7">
        <v>1200</v>
      </c>
      <c r="E16" s="7">
        <v>1200</v>
      </c>
      <c r="F16" s="81">
        <v>100</v>
      </c>
      <c r="G16" s="8">
        <v>41</v>
      </c>
      <c r="H16" s="8">
        <v>146</v>
      </c>
      <c r="I16" s="9">
        <v>39061</v>
      </c>
      <c r="J16" s="9">
        <v>39091</v>
      </c>
      <c r="K16" s="10">
        <v>30</v>
      </c>
      <c r="L16" s="10">
        <v>4</v>
      </c>
      <c r="M16" s="10">
        <v>0</v>
      </c>
      <c r="N16" s="11" t="s">
        <v>627</v>
      </c>
      <c r="O16" s="11" t="s">
        <v>587</v>
      </c>
      <c r="P16" s="11" t="s">
        <v>588</v>
      </c>
      <c r="Q16" s="11" t="s">
        <v>481</v>
      </c>
      <c r="R16" s="11"/>
      <c r="S16" s="11"/>
    </row>
    <row r="17" spans="1:19" ht="60">
      <c r="A17" s="5" t="s">
        <v>482</v>
      </c>
      <c r="B17" s="20" t="s">
        <v>537</v>
      </c>
      <c r="C17" s="6" t="s">
        <v>585</v>
      </c>
      <c r="D17" s="7">
        <v>1000</v>
      </c>
      <c r="E17" s="7">
        <v>1795</v>
      </c>
      <c r="F17" s="81">
        <v>179</v>
      </c>
      <c r="G17" s="8">
        <v>38</v>
      </c>
      <c r="H17" s="8">
        <v>52</v>
      </c>
      <c r="I17" s="9">
        <v>39065</v>
      </c>
      <c r="J17" s="9">
        <v>39087</v>
      </c>
      <c r="K17" s="10">
        <v>22</v>
      </c>
      <c r="L17" s="10">
        <v>1</v>
      </c>
      <c r="M17" s="10">
        <v>5</v>
      </c>
      <c r="N17" s="11" t="s">
        <v>538</v>
      </c>
      <c r="O17" s="11" t="s">
        <v>587</v>
      </c>
      <c r="P17" s="11" t="s">
        <v>588</v>
      </c>
      <c r="Q17" s="11" t="s">
        <v>539</v>
      </c>
      <c r="R17" s="11"/>
      <c r="S17" s="11"/>
    </row>
    <row r="18" spans="1:19" ht="72">
      <c r="A18" s="5" t="s">
        <v>540</v>
      </c>
      <c r="B18" s="20" t="s">
        <v>561</v>
      </c>
      <c r="C18" s="6" t="s">
        <v>639</v>
      </c>
      <c r="D18" s="7">
        <v>6000</v>
      </c>
      <c r="E18" s="7">
        <v>6423</v>
      </c>
      <c r="F18" s="81">
        <v>107</v>
      </c>
      <c r="G18" s="8">
        <v>86</v>
      </c>
      <c r="H18" s="8">
        <v>281</v>
      </c>
      <c r="I18" s="9">
        <v>39099</v>
      </c>
      <c r="J18" s="9">
        <v>39159</v>
      </c>
      <c r="K18" s="10">
        <v>59</v>
      </c>
      <c r="L18" s="10">
        <v>4</v>
      </c>
      <c r="M18" s="10">
        <v>4</v>
      </c>
      <c r="N18" s="11" t="s">
        <v>506</v>
      </c>
      <c r="O18" s="11" t="s">
        <v>587</v>
      </c>
      <c r="P18" s="11" t="s">
        <v>641</v>
      </c>
      <c r="Q18" s="11" t="s">
        <v>562</v>
      </c>
      <c r="R18" s="11"/>
      <c r="S18" s="11"/>
    </row>
    <row r="19" spans="1:19" ht="72">
      <c r="A19" s="5" t="s">
        <v>557</v>
      </c>
      <c r="B19" s="20" t="s">
        <v>635</v>
      </c>
      <c r="C19" s="6" t="s">
        <v>639</v>
      </c>
      <c r="D19" s="7">
        <v>1000</v>
      </c>
      <c r="E19" s="7">
        <v>1344</v>
      </c>
      <c r="F19" s="81">
        <v>134</v>
      </c>
      <c r="G19" s="8">
        <v>25</v>
      </c>
      <c r="H19" s="8">
        <v>249</v>
      </c>
      <c r="I19" s="9">
        <v>39114</v>
      </c>
      <c r="J19" s="9">
        <v>39155</v>
      </c>
      <c r="K19" s="10">
        <v>41</v>
      </c>
      <c r="L19" s="10">
        <v>3</v>
      </c>
      <c r="M19" s="10">
        <v>0</v>
      </c>
      <c r="N19" s="11" t="s">
        <v>627</v>
      </c>
      <c r="O19" s="11" t="s">
        <v>587</v>
      </c>
      <c r="P19" s="11" t="s">
        <v>604</v>
      </c>
      <c r="Q19" s="11" t="s">
        <v>627</v>
      </c>
      <c r="R19" s="11"/>
      <c r="S19" s="11"/>
    </row>
    <row r="20" spans="1:19" ht="48">
      <c r="A20" s="5" t="s">
        <v>636</v>
      </c>
      <c r="B20" s="20" t="s">
        <v>493</v>
      </c>
      <c r="C20" s="6" t="s">
        <v>639</v>
      </c>
      <c r="D20" s="7">
        <v>350</v>
      </c>
      <c r="E20" s="7">
        <v>370</v>
      </c>
      <c r="F20" s="81">
        <v>105</v>
      </c>
      <c r="G20" s="8">
        <v>14</v>
      </c>
      <c r="H20" s="8">
        <v>64</v>
      </c>
      <c r="I20" s="9">
        <v>39127</v>
      </c>
      <c r="J20" s="9">
        <v>39157</v>
      </c>
      <c r="K20" s="10">
        <v>30</v>
      </c>
      <c r="L20" s="10">
        <v>1</v>
      </c>
      <c r="M20" s="10">
        <v>0</v>
      </c>
      <c r="N20" s="11" t="s">
        <v>627</v>
      </c>
      <c r="O20" s="11" t="s">
        <v>587</v>
      </c>
      <c r="P20" s="11" t="s">
        <v>641</v>
      </c>
      <c r="Q20" s="11" t="s">
        <v>627</v>
      </c>
      <c r="R20" s="11"/>
      <c r="S20" s="11"/>
    </row>
    <row r="21" spans="1:19" ht="84">
      <c r="A21" s="5" t="s">
        <v>494</v>
      </c>
      <c r="B21" s="20" t="s">
        <v>569</v>
      </c>
      <c r="C21" s="6" t="s">
        <v>639</v>
      </c>
      <c r="D21" s="7">
        <v>1000</v>
      </c>
      <c r="E21" s="7">
        <v>1140</v>
      </c>
      <c r="F21" s="81">
        <v>113</v>
      </c>
      <c r="G21" s="8">
        <v>44</v>
      </c>
      <c r="H21" s="8">
        <v>320</v>
      </c>
      <c r="I21" s="9">
        <v>39131</v>
      </c>
      <c r="J21" s="9">
        <v>39161</v>
      </c>
      <c r="K21" s="10">
        <v>30</v>
      </c>
      <c r="L21" s="10">
        <v>4</v>
      </c>
      <c r="M21" s="10">
        <v>6</v>
      </c>
      <c r="N21" s="11" t="s">
        <v>630</v>
      </c>
      <c r="O21" s="11" t="s">
        <v>630</v>
      </c>
      <c r="P21" s="11" t="s">
        <v>631</v>
      </c>
      <c r="Q21" s="11" t="s">
        <v>570</v>
      </c>
      <c r="R21" s="11"/>
      <c r="S21" s="11"/>
    </row>
    <row r="22" spans="1:19" ht="72">
      <c r="A22" s="5" t="s">
        <v>571</v>
      </c>
      <c r="B22" s="20" t="s">
        <v>572</v>
      </c>
      <c r="C22" s="6" t="s">
        <v>585</v>
      </c>
      <c r="D22" s="7">
        <v>400</v>
      </c>
      <c r="E22" s="7">
        <v>140</v>
      </c>
      <c r="F22" s="81">
        <v>35</v>
      </c>
      <c r="G22" s="8">
        <v>4</v>
      </c>
      <c r="H22" s="8">
        <v>20</v>
      </c>
      <c r="I22" s="9">
        <v>39132</v>
      </c>
      <c r="J22" s="9">
        <v>39147</v>
      </c>
      <c r="K22" s="10">
        <v>15</v>
      </c>
      <c r="L22" s="10">
        <v>0</v>
      </c>
      <c r="M22" s="10">
        <v>0</v>
      </c>
      <c r="N22" s="11" t="s">
        <v>576</v>
      </c>
      <c r="O22" s="11" t="s">
        <v>640</v>
      </c>
      <c r="P22" s="11" t="s">
        <v>573</v>
      </c>
      <c r="Q22" s="11" t="s">
        <v>495</v>
      </c>
      <c r="R22" s="11"/>
      <c r="S22" s="11"/>
    </row>
    <row r="23" spans="1:19" ht="72">
      <c r="A23" s="5" t="s">
        <v>496</v>
      </c>
      <c r="B23" s="20" t="s">
        <v>446</v>
      </c>
      <c r="C23" s="6" t="s">
        <v>505</v>
      </c>
      <c r="D23" s="7">
        <v>1000</v>
      </c>
      <c r="E23" s="7">
        <v>2820</v>
      </c>
      <c r="F23" s="81">
        <v>282</v>
      </c>
      <c r="G23" s="8">
        <v>33</v>
      </c>
      <c r="H23" s="8">
        <v>156</v>
      </c>
      <c r="I23" s="9">
        <v>39140</v>
      </c>
      <c r="J23" s="9">
        <v>39172</v>
      </c>
      <c r="K23" s="10">
        <v>31</v>
      </c>
      <c r="L23" s="10">
        <v>11</v>
      </c>
      <c r="M23" s="10">
        <v>1</v>
      </c>
      <c r="N23" s="11" t="s">
        <v>640</v>
      </c>
      <c r="O23" s="11" t="s">
        <v>640</v>
      </c>
      <c r="P23" s="11" t="s">
        <v>447</v>
      </c>
      <c r="Q23" s="11" t="s">
        <v>448</v>
      </c>
      <c r="R23" s="11"/>
      <c r="S23" s="11"/>
    </row>
    <row r="24" spans="1:19" ht="72">
      <c r="A24" s="5" t="s">
        <v>449</v>
      </c>
      <c r="B24" s="20" t="s">
        <v>450</v>
      </c>
      <c r="C24" s="6" t="s">
        <v>451</v>
      </c>
      <c r="D24" s="7">
        <v>10000</v>
      </c>
      <c r="E24" s="7">
        <v>10686</v>
      </c>
      <c r="F24" s="81">
        <v>106</v>
      </c>
      <c r="G24" s="8">
        <v>141</v>
      </c>
      <c r="H24" s="8">
        <v>1169</v>
      </c>
      <c r="I24" s="9">
        <v>39147</v>
      </c>
      <c r="J24" s="9">
        <v>39178</v>
      </c>
      <c r="K24" s="10">
        <v>30</v>
      </c>
      <c r="L24" s="10">
        <v>30</v>
      </c>
      <c r="M24" s="10">
        <v>1</v>
      </c>
      <c r="N24" s="11" t="s">
        <v>533</v>
      </c>
      <c r="O24" s="11" t="s">
        <v>50</v>
      </c>
      <c r="P24" s="11" t="s">
        <v>641</v>
      </c>
      <c r="Q24" s="11" t="s">
        <v>475</v>
      </c>
      <c r="R24" s="11"/>
      <c r="S24" s="11"/>
    </row>
    <row r="25" spans="1:19" ht="72">
      <c r="A25" s="5" t="s">
        <v>452</v>
      </c>
      <c r="B25" s="20" t="s">
        <v>453</v>
      </c>
      <c r="C25" s="6" t="s">
        <v>575</v>
      </c>
      <c r="D25" s="7">
        <v>6000</v>
      </c>
      <c r="E25" s="7">
        <v>6739</v>
      </c>
      <c r="F25" s="81">
        <v>112</v>
      </c>
      <c r="G25" s="8">
        <v>103</v>
      </c>
      <c r="H25" s="8">
        <v>259</v>
      </c>
      <c r="I25" s="9">
        <v>39173</v>
      </c>
      <c r="J25" s="9">
        <v>39193</v>
      </c>
      <c r="K25" s="10">
        <v>20</v>
      </c>
      <c r="L25" s="10">
        <v>1</v>
      </c>
      <c r="M25" s="10">
        <v>2</v>
      </c>
      <c r="N25" s="11" t="s">
        <v>587</v>
      </c>
      <c r="O25" s="11" t="s">
        <v>587</v>
      </c>
      <c r="P25" s="11" t="s">
        <v>641</v>
      </c>
      <c r="Q25" s="11" t="s">
        <v>577</v>
      </c>
      <c r="R25" s="11"/>
      <c r="S25" s="11"/>
    </row>
    <row r="26" spans="1:19" ht="72">
      <c r="A26" s="5" t="s">
        <v>454</v>
      </c>
      <c r="B26" s="20" t="s">
        <v>513</v>
      </c>
      <c r="C26" s="6" t="s">
        <v>639</v>
      </c>
      <c r="D26" s="7">
        <v>2000</v>
      </c>
      <c r="E26" s="7">
        <v>2000</v>
      </c>
      <c r="F26" s="81">
        <v>100</v>
      </c>
      <c r="G26" s="8">
        <v>19</v>
      </c>
      <c r="H26" s="8">
        <v>114</v>
      </c>
      <c r="I26" s="9">
        <v>39189</v>
      </c>
      <c r="J26" s="9">
        <v>39233</v>
      </c>
      <c r="K26" s="10">
        <v>44</v>
      </c>
      <c r="L26" s="10">
        <v>3</v>
      </c>
      <c r="M26" s="10">
        <v>0</v>
      </c>
      <c r="N26" s="11" t="s">
        <v>587</v>
      </c>
      <c r="O26" s="11" t="s">
        <v>587</v>
      </c>
      <c r="P26" s="11" t="s">
        <v>604</v>
      </c>
      <c r="Q26" s="11" t="s">
        <v>627</v>
      </c>
      <c r="R26" s="11"/>
      <c r="S26" s="11"/>
    </row>
    <row r="27" spans="1:19" ht="84">
      <c r="A27" s="5" t="s">
        <v>508</v>
      </c>
      <c r="B27" s="20" t="s">
        <v>509</v>
      </c>
      <c r="C27" s="6" t="s">
        <v>510</v>
      </c>
      <c r="D27" s="7">
        <v>2900</v>
      </c>
      <c r="E27" s="7">
        <v>2956</v>
      </c>
      <c r="F27" s="81">
        <v>101</v>
      </c>
      <c r="G27" s="8">
        <v>71</v>
      </c>
      <c r="H27" s="8">
        <v>82</v>
      </c>
      <c r="I27" s="9">
        <v>39193</v>
      </c>
      <c r="J27" s="9">
        <v>39223</v>
      </c>
      <c r="K27" s="10">
        <v>30</v>
      </c>
      <c r="L27" s="10">
        <v>4</v>
      </c>
      <c r="M27" s="10">
        <v>2</v>
      </c>
      <c r="N27" s="11" t="s">
        <v>587</v>
      </c>
      <c r="O27" s="11" t="s">
        <v>587</v>
      </c>
      <c r="P27" s="11" t="s">
        <v>641</v>
      </c>
      <c r="Q27" s="11" t="s">
        <v>511</v>
      </c>
      <c r="R27" s="11"/>
      <c r="S27" s="11"/>
    </row>
    <row r="28" spans="1:19" ht="72">
      <c r="A28" s="5" t="s">
        <v>512</v>
      </c>
      <c r="B28" s="20" t="s">
        <v>605</v>
      </c>
      <c r="C28" s="6" t="s">
        <v>585</v>
      </c>
      <c r="D28" s="7">
        <v>5150</v>
      </c>
      <c r="E28" s="7">
        <v>5965</v>
      </c>
      <c r="F28" s="81">
        <v>116</v>
      </c>
      <c r="G28" s="8">
        <v>97</v>
      </c>
      <c r="H28" s="8">
        <v>407</v>
      </c>
      <c r="I28" s="9">
        <v>39196</v>
      </c>
      <c r="J28" s="9">
        <v>39236</v>
      </c>
      <c r="K28" s="10">
        <v>42</v>
      </c>
      <c r="L28" s="10">
        <v>11</v>
      </c>
      <c r="M28" s="10">
        <v>4</v>
      </c>
      <c r="N28" s="11" t="s">
        <v>606</v>
      </c>
      <c r="O28" s="11" t="s">
        <v>640</v>
      </c>
      <c r="P28" s="11" t="s">
        <v>606</v>
      </c>
      <c r="Q28" s="11" t="s">
        <v>607</v>
      </c>
      <c r="R28" s="11"/>
      <c r="S28" s="11"/>
    </row>
    <row r="29" spans="1:19" ht="84">
      <c r="A29" s="5" t="s">
        <v>608</v>
      </c>
      <c r="B29" s="20" t="s">
        <v>609</v>
      </c>
      <c r="C29" s="6" t="s">
        <v>613</v>
      </c>
      <c r="D29" s="7">
        <v>500</v>
      </c>
      <c r="E29" s="7">
        <v>770</v>
      </c>
      <c r="F29" s="81">
        <v>154</v>
      </c>
      <c r="G29" s="8">
        <v>14</v>
      </c>
      <c r="H29" s="8">
        <v>43</v>
      </c>
      <c r="I29" s="9">
        <v>39220</v>
      </c>
      <c r="J29" s="9">
        <v>39250</v>
      </c>
      <c r="K29" s="10">
        <v>30</v>
      </c>
      <c r="L29" s="10">
        <v>6</v>
      </c>
      <c r="M29" s="10">
        <v>2</v>
      </c>
      <c r="N29" s="11" t="s">
        <v>615</v>
      </c>
      <c r="O29" s="11" t="s">
        <v>615</v>
      </c>
      <c r="P29" s="11" t="s">
        <v>641</v>
      </c>
      <c r="Q29" s="11" t="s">
        <v>616</v>
      </c>
      <c r="R29" s="11"/>
      <c r="S29" s="11"/>
    </row>
    <row r="30" spans="1:19" ht="60">
      <c r="A30" s="5" t="s">
        <v>610</v>
      </c>
      <c r="B30" s="20" t="s">
        <v>464</v>
      </c>
      <c r="C30" s="6" t="s">
        <v>480</v>
      </c>
      <c r="D30" s="7">
        <v>500</v>
      </c>
      <c r="E30" s="7">
        <v>625</v>
      </c>
      <c r="F30" s="81">
        <v>125</v>
      </c>
      <c r="G30" s="8">
        <v>17</v>
      </c>
      <c r="H30" s="8">
        <v>23</v>
      </c>
      <c r="I30" s="9">
        <v>39233</v>
      </c>
      <c r="J30" s="9">
        <v>39323</v>
      </c>
      <c r="K30" s="10">
        <v>90</v>
      </c>
      <c r="L30" s="10">
        <v>3</v>
      </c>
      <c r="M30" s="10">
        <v>0</v>
      </c>
      <c r="N30" s="11" t="s">
        <v>465</v>
      </c>
      <c r="O30" s="11" t="s">
        <v>640</v>
      </c>
      <c r="P30" s="11" t="s">
        <v>447</v>
      </c>
      <c r="Q30" s="11" t="s">
        <v>607</v>
      </c>
      <c r="R30" s="11"/>
      <c r="S30" s="11"/>
    </row>
    <row r="31" spans="1:19" ht="84">
      <c r="A31" s="5" t="s">
        <v>466</v>
      </c>
      <c r="B31" s="20" t="s">
        <v>467</v>
      </c>
      <c r="C31" s="6" t="s">
        <v>639</v>
      </c>
      <c r="D31" s="7">
        <v>50000</v>
      </c>
      <c r="E31" s="7">
        <v>50492</v>
      </c>
      <c r="F31" s="81">
        <v>100</v>
      </c>
      <c r="G31" s="8">
        <v>396</v>
      </c>
      <c r="H31" s="8">
        <v>2684</v>
      </c>
      <c r="I31" s="9">
        <v>39240</v>
      </c>
      <c r="J31" s="9">
        <v>39293</v>
      </c>
      <c r="K31" s="10">
        <v>53</v>
      </c>
      <c r="L31" s="10">
        <v>34</v>
      </c>
      <c r="M31" s="10">
        <v>52</v>
      </c>
      <c r="N31" s="11" t="s">
        <v>502</v>
      </c>
      <c r="O31" s="11" t="s">
        <v>577</v>
      </c>
      <c r="P31" s="11" t="s">
        <v>641</v>
      </c>
      <c r="Q31" s="11" t="s">
        <v>468</v>
      </c>
      <c r="R31" s="11"/>
      <c r="S31" s="11"/>
    </row>
    <row r="32" spans="1:19" ht="84">
      <c r="A32" s="5" t="s">
        <v>469</v>
      </c>
      <c r="B32" s="20" t="s">
        <v>528</v>
      </c>
      <c r="C32" s="6" t="s">
        <v>451</v>
      </c>
      <c r="D32" s="7">
        <v>6000</v>
      </c>
      <c r="E32" s="7">
        <v>6620</v>
      </c>
      <c r="F32" s="81">
        <v>110</v>
      </c>
      <c r="G32" s="8">
        <v>83</v>
      </c>
      <c r="H32" s="8">
        <v>257</v>
      </c>
      <c r="I32" s="9">
        <v>39252</v>
      </c>
      <c r="J32" s="9">
        <v>39281</v>
      </c>
      <c r="K32" s="10">
        <v>30</v>
      </c>
      <c r="L32" s="10">
        <v>11</v>
      </c>
      <c r="M32" s="10">
        <v>0</v>
      </c>
      <c r="N32" s="11" t="s">
        <v>533</v>
      </c>
      <c r="O32" s="11" t="s">
        <v>640</v>
      </c>
      <c r="P32" s="11" t="s">
        <v>641</v>
      </c>
      <c r="Q32" s="11" t="s">
        <v>529</v>
      </c>
      <c r="R32" s="11"/>
      <c r="S32" s="11"/>
    </row>
    <row r="33" spans="1:19" ht="72">
      <c r="A33" s="5" t="s">
        <v>530</v>
      </c>
      <c r="B33" s="20" t="s">
        <v>471</v>
      </c>
      <c r="C33" s="6" t="s">
        <v>639</v>
      </c>
      <c r="D33" s="7">
        <v>3000</v>
      </c>
      <c r="E33" s="7">
        <v>3638</v>
      </c>
      <c r="F33" s="81">
        <v>121</v>
      </c>
      <c r="G33" s="8">
        <v>107</v>
      </c>
      <c r="H33" s="8">
        <v>428</v>
      </c>
      <c r="I33" s="9">
        <v>39259</v>
      </c>
      <c r="J33" s="9">
        <v>39289</v>
      </c>
      <c r="K33" s="10">
        <v>30</v>
      </c>
      <c r="L33" s="10">
        <v>10</v>
      </c>
      <c r="M33" s="10">
        <v>11</v>
      </c>
      <c r="N33" s="11" t="s">
        <v>472</v>
      </c>
      <c r="O33" s="11" t="s">
        <v>125</v>
      </c>
      <c r="P33" s="11" t="s">
        <v>641</v>
      </c>
      <c r="Q33" s="11" t="s">
        <v>473</v>
      </c>
      <c r="R33" s="11"/>
      <c r="S33" s="11"/>
    </row>
    <row r="34" spans="1:19" ht="72">
      <c r="A34" s="5" t="s">
        <v>409</v>
      </c>
      <c r="B34" s="20" t="s">
        <v>410</v>
      </c>
      <c r="C34" s="6" t="s">
        <v>639</v>
      </c>
      <c r="D34" s="7">
        <v>12000</v>
      </c>
      <c r="E34" s="7">
        <v>12376</v>
      </c>
      <c r="F34" s="81">
        <v>103</v>
      </c>
      <c r="G34" s="8">
        <v>39</v>
      </c>
      <c r="H34" s="8">
        <v>205</v>
      </c>
      <c r="I34" s="9">
        <v>39260</v>
      </c>
      <c r="J34" s="9">
        <v>39300</v>
      </c>
      <c r="K34" s="10">
        <v>40</v>
      </c>
      <c r="L34" s="10">
        <v>14</v>
      </c>
      <c r="M34" s="10">
        <v>4</v>
      </c>
      <c r="N34" s="11" t="s">
        <v>475</v>
      </c>
      <c r="O34" s="11" t="s">
        <v>50</v>
      </c>
      <c r="P34" s="11" t="s">
        <v>641</v>
      </c>
      <c r="Q34" s="11" t="s">
        <v>475</v>
      </c>
      <c r="R34" s="11"/>
      <c r="S34" s="11"/>
    </row>
    <row r="35" spans="1:19" ht="72">
      <c r="A35" s="5" t="s">
        <v>411</v>
      </c>
      <c r="B35" s="20" t="s">
        <v>412</v>
      </c>
      <c r="C35" s="6" t="s">
        <v>639</v>
      </c>
      <c r="D35" s="7">
        <v>1000</v>
      </c>
      <c r="E35" s="7">
        <v>1017</v>
      </c>
      <c r="F35" s="81">
        <v>101</v>
      </c>
      <c r="G35" s="8">
        <v>44</v>
      </c>
      <c r="H35" s="8">
        <v>158</v>
      </c>
      <c r="I35" s="9">
        <v>39263</v>
      </c>
      <c r="J35" s="9">
        <v>39293</v>
      </c>
      <c r="K35" s="10">
        <v>30</v>
      </c>
      <c r="L35" s="10">
        <v>0</v>
      </c>
      <c r="M35" s="10">
        <v>7</v>
      </c>
      <c r="N35" s="11" t="s">
        <v>534</v>
      </c>
      <c r="O35" s="11" t="s">
        <v>615</v>
      </c>
      <c r="P35" s="11" t="s">
        <v>641</v>
      </c>
      <c r="Q35" s="11" t="s">
        <v>413</v>
      </c>
      <c r="R35" s="11"/>
      <c r="S35" s="11"/>
    </row>
    <row r="36" spans="1:19" ht="84">
      <c r="A36" s="5" t="s">
        <v>414</v>
      </c>
      <c r="B36" s="20" t="s">
        <v>415</v>
      </c>
      <c r="C36" s="6" t="s">
        <v>639</v>
      </c>
      <c r="D36" s="7">
        <v>5000</v>
      </c>
      <c r="E36" s="7">
        <v>6560</v>
      </c>
      <c r="F36" s="81">
        <v>131</v>
      </c>
      <c r="G36" s="8">
        <v>61</v>
      </c>
      <c r="H36" s="8">
        <v>140</v>
      </c>
      <c r="I36" s="9">
        <v>39272</v>
      </c>
      <c r="J36" s="9">
        <v>39302</v>
      </c>
      <c r="K36" s="10">
        <v>30</v>
      </c>
      <c r="L36" s="10">
        <v>3</v>
      </c>
      <c r="M36" s="10">
        <v>4</v>
      </c>
      <c r="N36" s="11" t="s">
        <v>587</v>
      </c>
      <c r="O36" s="11" t="s">
        <v>587</v>
      </c>
      <c r="P36" s="11" t="s">
        <v>641</v>
      </c>
      <c r="Q36" s="11" t="s">
        <v>627</v>
      </c>
      <c r="R36" s="11"/>
      <c r="S36" s="11"/>
    </row>
    <row r="37" spans="1:19" ht="60">
      <c r="A37" s="5" t="s">
        <v>558</v>
      </c>
      <c r="B37" s="20" t="s">
        <v>559</v>
      </c>
      <c r="C37" s="6" t="s">
        <v>639</v>
      </c>
      <c r="D37" s="7">
        <v>999</v>
      </c>
      <c r="E37" s="7">
        <v>1326</v>
      </c>
      <c r="F37" s="81">
        <v>132</v>
      </c>
      <c r="G37" s="8">
        <v>31</v>
      </c>
      <c r="H37" s="8">
        <v>75</v>
      </c>
      <c r="I37" s="9">
        <v>39273</v>
      </c>
      <c r="J37" s="9">
        <v>39303</v>
      </c>
      <c r="K37" s="10">
        <v>30</v>
      </c>
      <c r="L37" s="10">
        <v>0</v>
      </c>
      <c r="M37" s="10">
        <v>4</v>
      </c>
      <c r="N37" s="11" t="s">
        <v>587</v>
      </c>
      <c r="O37" s="11" t="s">
        <v>587</v>
      </c>
      <c r="P37" s="11" t="s">
        <v>641</v>
      </c>
      <c r="Q37" s="11" t="s">
        <v>511</v>
      </c>
      <c r="R37" s="11"/>
      <c r="S37" s="11"/>
    </row>
    <row r="38" spans="1:19" ht="60">
      <c r="A38" s="5" t="s">
        <v>560</v>
      </c>
      <c r="B38" s="20" t="s">
        <v>566</v>
      </c>
      <c r="C38" s="6" t="s">
        <v>639</v>
      </c>
      <c r="D38" s="7">
        <v>6000</v>
      </c>
      <c r="E38" s="7">
        <v>6470</v>
      </c>
      <c r="F38" s="81">
        <v>107</v>
      </c>
      <c r="G38" s="8">
        <v>100</v>
      </c>
      <c r="H38" s="8">
        <v>245</v>
      </c>
      <c r="I38" s="9">
        <v>39281</v>
      </c>
      <c r="J38" s="9">
        <v>39321</v>
      </c>
      <c r="K38" s="10">
        <v>40</v>
      </c>
      <c r="L38" s="10">
        <v>4</v>
      </c>
      <c r="M38" s="10">
        <v>4</v>
      </c>
      <c r="N38" s="11" t="s">
        <v>587</v>
      </c>
      <c r="O38" s="11" t="s">
        <v>587</v>
      </c>
      <c r="P38" s="11" t="s">
        <v>604</v>
      </c>
      <c r="Q38" s="11" t="s">
        <v>567</v>
      </c>
      <c r="R38" s="11"/>
      <c r="S38" s="11"/>
    </row>
    <row r="39" spans="1:19" ht="60">
      <c r="A39" s="5" t="s">
        <v>568</v>
      </c>
      <c r="B39" s="20" t="s">
        <v>491</v>
      </c>
      <c r="C39" s="6" t="s">
        <v>639</v>
      </c>
      <c r="D39" s="7">
        <v>4000</v>
      </c>
      <c r="E39" s="7">
        <v>4291</v>
      </c>
      <c r="F39" s="81">
        <v>107</v>
      </c>
      <c r="G39" s="8">
        <v>64</v>
      </c>
      <c r="H39" s="8">
        <v>199</v>
      </c>
      <c r="I39" s="9">
        <v>39283</v>
      </c>
      <c r="J39" s="9">
        <v>39323</v>
      </c>
      <c r="K39" s="10">
        <v>40</v>
      </c>
      <c r="L39" s="10">
        <v>3</v>
      </c>
      <c r="M39" s="10">
        <v>3</v>
      </c>
      <c r="N39" s="11" t="s">
        <v>587</v>
      </c>
      <c r="O39" s="11" t="s">
        <v>587</v>
      </c>
      <c r="P39" s="11" t="s">
        <v>588</v>
      </c>
      <c r="Q39" s="11" t="s">
        <v>539</v>
      </c>
      <c r="R39" s="11"/>
      <c r="S39" s="11"/>
    </row>
    <row r="40" spans="1:19" ht="60">
      <c r="A40" s="5" t="s">
        <v>492</v>
      </c>
      <c r="B40" s="20" t="s">
        <v>433</v>
      </c>
      <c r="C40" s="6" t="s">
        <v>639</v>
      </c>
      <c r="D40" s="7">
        <v>6000</v>
      </c>
      <c r="E40" s="7">
        <v>17881</v>
      </c>
      <c r="F40" s="81">
        <v>298</v>
      </c>
      <c r="G40" s="8">
        <v>533</v>
      </c>
      <c r="H40" s="8">
        <v>830</v>
      </c>
      <c r="I40" s="9">
        <v>39292</v>
      </c>
      <c r="J40" s="9">
        <v>39322</v>
      </c>
      <c r="K40" s="10">
        <v>30</v>
      </c>
      <c r="L40" s="10">
        <v>49</v>
      </c>
      <c r="M40" s="10">
        <v>30</v>
      </c>
      <c r="N40" s="11" t="s">
        <v>434</v>
      </c>
      <c r="O40" s="11" t="s">
        <v>615</v>
      </c>
      <c r="P40" s="11" t="s">
        <v>614</v>
      </c>
      <c r="Q40" s="11" t="s">
        <v>435</v>
      </c>
      <c r="R40" s="11"/>
      <c r="S40" s="11"/>
    </row>
    <row r="41" spans="1:19" ht="72">
      <c r="A41" s="5" t="s">
        <v>436</v>
      </c>
      <c r="B41" s="20" t="s">
        <v>437</v>
      </c>
      <c r="C41" s="6" t="s">
        <v>639</v>
      </c>
      <c r="D41" s="7">
        <v>25000</v>
      </c>
      <c r="E41" s="7">
        <v>2029</v>
      </c>
      <c r="F41" s="81">
        <v>8</v>
      </c>
      <c r="G41" s="8">
        <v>22</v>
      </c>
      <c r="H41" s="8">
        <v>92</v>
      </c>
      <c r="I41" s="9">
        <v>39296</v>
      </c>
      <c r="J41" s="9">
        <v>39326</v>
      </c>
      <c r="K41" s="10">
        <v>30</v>
      </c>
      <c r="L41" s="10">
        <v>2</v>
      </c>
      <c r="M41" s="10">
        <v>0</v>
      </c>
      <c r="N41" s="11" t="s">
        <v>438</v>
      </c>
      <c r="O41" s="11" t="s">
        <v>50</v>
      </c>
      <c r="P41" s="11" t="s">
        <v>641</v>
      </c>
      <c r="Q41" s="11" t="s">
        <v>439</v>
      </c>
      <c r="R41" s="11"/>
      <c r="S41" s="11"/>
    </row>
    <row r="42" spans="1:19" ht="60">
      <c r="A42" s="5" t="s">
        <v>440</v>
      </c>
      <c r="B42" s="20" t="s">
        <v>497</v>
      </c>
      <c r="C42" s="6" t="s">
        <v>498</v>
      </c>
      <c r="D42" s="7">
        <v>2100</v>
      </c>
      <c r="E42" s="7">
        <v>3789</v>
      </c>
      <c r="F42" s="81">
        <v>180</v>
      </c>
      <c r="G42" s="8">
        <v>61</v>
      </c>
      <c r="H42" s="8">
        <v>115</v>
      </c>
      <c r="I42" s="9">
        <v>39330</v>
      </c>
      <c r="J42" s="9">
        <v>39360</v>
      </c>
      <c r="K42" s="10">
        <v>30</v>
      </c>
      <c r="L42" s="10">
        <v>13</v>
      </c>
      <c r="M42" s="10">
        <v>3</v>
      </c>
      <c r="N42" s="11" t="s">
        <v>499</v>
      </c>
      <c r="O42" s="11" t="s">
        <v>125</v>
      </c>
      <c r="P42" s="11" t="s">
        <v>641</v>
      </c>
      <c r="Q42" s="11" t="s">
        <v>500</v>
      </c>
      <c r="R42" s="11"/>
      <c r="S42" s="11"/>
    </row>
    <row r="43" spans="1:19" ht="60">
      <c r="A43" s="5" t="s">
        <v>444</v>
      </c>
      <c r="B43" s="20" t="s">
        <v>445</v>
      </c>
      <c r="C43" s="6" t="s">
        <v>480</v>
      </c>
      <c r="D43" s="7">
        <v>350</v>
      </c>
      <c r="E43" s="7">
        <v>1587</v>
      </c>
      <c r="F43" s="81">
        <v>453</v>
      </c>
      <c r="G43" s="8">
        <v>53</v>
      </c>
      <c r="H43" s="8">
        <v>44</v>
      </c>
      <c r="I43" s="9">
        <v>39331</v>
      </c>
      <c r="J43" s="9">
        <v>39365</v>
      </c>
      <c r="K43" s="10">
        <v>35</v>
      </c>
      <c r="L43" s="10">
        <v>2</v>
      </c>
      <c r="M43" s="10">
        <v>0</v>
      </c>
      <c r="N43" s="11" t="s">
        <v>465</v>
      </c>
      <c r="O43" s="11" t="s">
        <v>640</v>
      </c>
      <c r="P43" s="11" t="s">
        <v>447</v>
      </c>
      <c r="Q43" s="11" t="s">
        <v>607</v>
      </c>
      <c r="R43" s="11"/>
      <c r="S43" s="11"/>
    </row>
    <row r="44" spans="1:19" ht="60">
      <c r="A44" s="5" t="s">
        <v>374</v>
      </c>
      <c r="B44" s="20" t="s">
        <v>375</v>
      </c>
      <c r="C44" s="6" t="s">
        <v>376</v>
      </c>
      <c r="D44" s="7">
        <v>5500</v>
      </c>
      <c r="E44" s="7">
        <v>6330</v>
      </c>
      <c r="F44" s="81">
        <v>115</v>
      </c>
      <c r="G44" s="8">
        <v>76</v>
      </c>
      <c r="H44" s="8">
        <v>815</v>
      </c>
      <c r="I44" s="9">
        <v>39341</v>
      </c>
      <c r="J44" s="9">
        <v>39372</v>
      </c>
      <c r="K44" s="10">
        <v>30</v>
      </c>
      <c r="L44" s="10">
        <v>13</v>
      </c>
      <c r="M44" s="10">
        <v>7</v>
      </c>
      <c r="N44" s="11" t="s">
        <v>630</v>
      </c>
      <c r="O44" s="11" t="s">
        <v>630</v>
      </c>
      <c r="P44" s="11" t="s">
        <v>641</v>
      </c>
      <c r="Q44" s="11" t="s">
        <v>377</v>
      </c>
      <c r="R44" s="11"/>
      <c r="S44" s="11"/>
    </row>
    <row r="45" spans="1:19" ht="72">
      <c r="A45" s="5" t="s">
        <v>378</v>
      </c>
      <c r="B45" s="20" t="s">
        <v>379</v>
      </c>
      <c r="C45" s="6" t="s">
        <v>613</v>
      </c>
      <c r="D45" s="7">
        <v>2700</v>
      </c>
      <c r="E45" s="7">
        <v>3375</v>
      </c>
      <c r="F45" s="81">
        <v>125</v>
      </c>
      <c r="G45" s="8">
        <v>45</v>
      </c>
      <c r="H45" s="8">
        <v>21</v>
      </c>
      <c r="I45" s="9">
        <v>39345</v>
      </c>
      <c r="J45" s="9">
        <v>39373</v>
      </c>
      <c r="K45" s="10">
        <v>29</v>
      </c>
      <c r="L45" s="10">
        <v>7</v>
      </c>
      <c r="M45" s="10">
        <v>7</v>
      </c>
      <c r="N45" s="11" t="s">
        <v>615</v>
      </c>
      <c r="O45" s="11" t="s">
        <v>615</v>
      </c>
      <c r="P45" s="11" t="s">
        <v>641</v>
      </c>
      <c r="Q45" s="11" t="s">
        <v>616</v>
      </c>
      <c r="R45" s="11"/>
      <c r="S45" s="11"/>
    </row>
    <row r="46" spans="1:19" ht="60">
      <c r="A46" s="5" t="s">
        <v>380</v>
      </c>
      <c r="B46" s="20" t="s">
        <v>381</v>
      </c>
      <c r="C46" s="6" t="s">
        <v>585</v>
      </c>
      <c r="D46" s="7">
        <v>200</v>
      </c>
      <c r="E46" s="7">
        <v>480</v>
      </c>
      <c r="F46" s="81">
        <v>240</v>
      </c>
      <c r="G46" s="8">
        <v>28</v>
      </c>
      <c r="H46" s="8">
        <v>36</v>
      </c>
      <c r="I46" s="9">
        <v>39359</v>
      </c>
      <c r="J46" s="9">
        <v>39380</v>
      </c>
      <c r="K46" s="10">
        <v>21</v>
      </c>
      <c r="L46" s="10"/>
      <c r="M46" s="10">
        <v>0</v>
      </c>
      <c r="N46" s="11" t="s">
        <v>499</v>
      </c>
      <c r="O46" s="11" t="s">
        <v>184</v>
      </c>
      <c r="P46" s="11" t="s">
        <v>383</v>
      </c>
      <c r="Q46" s="11" t="s">
        <v>384</v>
      </c>
      <c r="R46" s="11"/>
      <c r="S46" s="11"/>
    </row>
    <row r="47" spans="1:19" ht="72">
      <c r="A47" s="5" t="s">
        <v>514</v>
      </c>
      <c r="B47" s="20" t="s">
        <v>515</v>
      </c>
      <c r="C47" s="6" t="s">
        <v>639</v>
      </c>
      <c r="D47" s="7">
        <v>800</v>
      </c>
      <c r="E47" s="7">
        <v>875</v>
      </c>
      <c r="F47" s="81">
        <v>109</v>
      </c>
      <c r="G47" s="8">
        <v>23</v>
      </c>
      <c r="H47" s="8">
        <v>12</v>
      </c>
      <c r="I47" s="9">
        <v>39359</v>
      </c>
      <c r="J47" s="9">
        <v>39419</v>
      </c>
      <c r="K47" s="10">
        <v>60</v>
      </c>
      <c r="L47" s="10">
        <v>6</v>
      </c>
      <c r="M47" s="10">
        <v>0</v>
      </c>
      <c r="N47" s="11" t="s">
        <v>516</v>
      </c>
      <c r="O47" s="11" t="s">
        <v>587</v>
      </c>
      <c r="P47" s="11" t="s">
        <v>588</v>
      </c>
      <c r="Q47" s="11" t="s">
        <v>627</v>
      </c>
      <c r="R47" s="11"/>
      <c r="S47" s="11"/>
    </row>
    <row r="48" spans="1:19" ht="84">
      <c r="A48" s="5" t="s">
        <v>517</v>
      </c>
      <c r="B48" s="20" t="s">
        <v>521</v>
      </c>
      <c r="C48" s="6" t="s">
        <v>585</v>
      </c>
      <c r="D48" s="7">
        <v>400</v>
      </c>
      <c r="E48" s="7">
        <v>465</v>
      </c>
      <c r="F48" s="81">
        <v>116</v>
      </c>
      <c r="G48" s="8">
        <v>6</v>
      </c>
      <c r="H48" s="8">
        <v>34</v>
      </c>
      <c r="I48" s="9">
        <v>39362</v>
      </c>
      <c r="J48" s="9">
        <v>39423</v>
      </c>
      <c r="K48" s="10">
        <v>60</v>
      </c>
      <c r="L48" s="10">
        <v>0</v>
      </c>
      <c r="M48" s="10">
        <v>0</v>
      </c>
      <c r="N48" s="11" t="s">
        <v>506</v>
      </c>
      <c r="O48" s="11" t="s">
        <v>587</v>
      </c>
      <c r="P48" s="11" t="s">
        <v>522</v>
      </c>
      <c r="Q48" s="11" t="s">
        <v>627</v>
      </c>
      <c r="R48" s="11"/>
      <c r="S48" s="11"/>
    </row>
    <row r="49" spans="1:19" ht="60">
      <c r="A49" s="5" t="s">
        <v>523</v>
      </c>
      <c r="B49" s="20" t="s">
        <v>462</v>
      </c>
      <c r="C49" s="6" t="s">
        <v>639</v>
      </c>
      <c r="D49" s="7">
        <v>5000</v>
      </c>
      <c r="E49" s="7">
        <v>5925</v>
      </c>
      <c r="F49" s="81">
        <v>118</v>
      </c>
      <c r="G49" s="8">
        <v>104</v>
      </c>
      <c r="H49" s="8">
        <v>369</v>
      </c>
      <c r="I49" s="9">
        <v>39362</v>
      </c>
      <c r="J49" s="9">
        <v>39392</v>
      </c>
      <c r="K49" s="10">
        <v>30</v>
      </c>
      <c r="L49" s="10">
        <v>3</v>
      </c>
      <c r="M49" s="10">
        <v>4</v>
      </c>
      <c r="N49" s="11" t="s">
        <v>506</v>
      </c>
      <c r="O49" s="11" t="s">
        <v>587</v>
      </c>
      <c r="P49" s="11" t="s">
        <v>641</v>
      </c>
      <c r="Q49" s="11" t="s">
        <v>627</v>
      </c>
      <c r="R49" s="11"/>
      <c r="S49" s="11"/>
    </row>
    <row r="50" spans="1:19" ht="72">
      <c r="A50" s="5" t="s">
        <v>463</v>
      </c>
      <c r="B50" s="20" t="s">
        <v>404</v>
      </c>
      <c r="C50" s="6" t="s">
        <v>585</v>
      </c>
      <c r="D50" s="7">
        <v>1000</v>
      </c>
      <c r="E50" s="7">
        <v>1300</v>
      </c>
      <c r="F50" s="81">
        <v>130</v>
      </c>
      <c r="G50" s="8">
        <v>81</v>
      </c>
      <c r="H50" s="8">
        <v>111</v>
      </c>
      <c r="I50" s="9">
        <v>39365</v>
      </c>
      <c r="J50" s="9">
        <v>39415</v>
      </c>
      <c r="K50" s="10">
        <v>40</v>
      </c>
      <c r="L50" s="10">
        <v>6</v>
      </c>
      <c r="M50" s="10">
        <v>6</v>
      </c>
      <c r="N50" s="11" t="s">
        <v>640</v>
      </c>
      <c r="O50" s="11" t="s">
        <v>640</v>
      </c>
      <c r="P50" s="11" t="s">
        <v>447</v>
      </c>
      <c r="Q50" s="11" t="s">
        <v>405</v>
      </c>
      <c r="R50" s="11"/>
      <c r="S50" s="11"/>
    </row>
    <row r="51" spans="1:19" ht="60">
      <c r="A51" s="5" t="s">
        <v>346</v>
      </c>
      <c r="B51" s="20" t="s">
        <v>406</v>
      </c>
      <c r="C51" s="6" t="s">
        <v>480</v>
      </c>
      <c r="D51" s="7">
        <v>350</v>
      </c>
      <c r="E51" s="7">
        <v>1980</v>
      </c>
      <c r="F51" s="81">
        <v>565</v>
      </c>
      <c r="G51" s="8">
        <v>38</v>
      </c>
      <c r="H51" s="8">
        <v>82</v>
      </c>
      <c r="I51" s="9">
        <v>39386</v>
      </c>
      <c r="J51" s="9">
        <v>39416</v>
      </c>
      <c r="K51" s="10">
        <v>30</v>
      </c>
      <c r="L51" s="10">
        <v>4</v>
      </c>
      <c r="M51" s="10">
        <v>0</v>
      </c>
      <c r="N51" s="11" t="s">
        <v>465</v>
      </c>
      <c r="O51" s="11" t="s">
        <v>640</v>
      </c>
      <c r="P51" s="11" t="s">
        <v>447</v>
      </c>
      <c r="Q51" s="11" t="s">
        <v>607</v>
      </c>
      <c r="R51" s="11"/>
      <c r="S51" s="11"/>
    </row>
    <row r="52" spans="1:19" ht="72">
      <c r="A52" s="5" t="s">
        <v>470</v>
      </c>
      <c r="B52" s="20" t="s">
        <v>349</v>
      </c>
      <c r="C52" s="6" t="s">
        <v>350</v>
      </c>
      <c r="D52" s="7">
        <v>12000</v>
      </c>
      <c r="E52" s="7">
        <v>2520</v>
      </c>
      <c r="F52" s="81">
        <v>21</v>
      </c>
      <c r="G52" s="8">
        <v>53</v>
      </c>
      <c r="H52" s="8">
        <v>238</v>
      </c>
      <c r="I52" s="9">
        <v>39393</v>
      </c>
      <c r="J52" s="9">
        <v>39425</v>
      </c>
      <c r="K52" s="10">
        <v>31</v>
      </c>
      <c r="L52" s="10">
        <v>15</v>
      </c>
      <c r="M52" s="10">
        <v>0</v>
      </c>
      <c r="N52" s="11" t="s">
        <v>538</v>
      </c>
      <c r="O52" s="11" t="s">
        <v>587</v>
      </c>
      <c r="P52" s="11" t="s">
        <v>641</v>
      </c>
      <c r="Q52" s="11" t="s">
        <v>511</v>
      </c>
      <c r="R52" s="11"/>
      <c r="S52" s="11"/>
    </row>
    <row r="53" spans="1:19" ht="60">
      <c r="A53" s="5" t="s">
        <v>351</v>
      </c>
      <c r="B53" s="20" t="s">
        <v>352</v>
      </c>
      <c r="C53" s="6" t="s">
        <v>639</v>
      </c>
      <c r="D53" s="7">
        <v>3000</v>
      </c>
      <c r="E53" s="7">
        <v>3302</v>
      </c>
      <c r="F53" s="81">
        <v>110</v>
      </c>
      <c r="G53" s="8">
        <v>69</v>
      </c>
      <c r="H53" s="8">
        <v>309</v>
      </c>
      <c r="I53" s="9">
        <v>39414</v>
      </c>
      <c r="J53" s="9">
        <v>39445</v>
      </c>
      <c r="K53" s="10">
        <v>30</v>
      </c>
      <c r="L53" s="10">
        <v>5</v>
      </c>
      <c r="M53" s="10">
        <v>1</v>
      </c>
      <c r="N53" s="11" t="s">
        <v>627</v>
      </c>
      <c r="O53" s="11" t="s">
        <v>587</v>
      </c>
      <c r="P53" s="11" t="s">
        <v>641</v>
      </c>
      <c r="Q53" s="11" t="s">
        <v>627</v>
      </c>
      <c r="R53" s="11"/>
      <c r="S53" s="11"/>
    </row>
    <row r="54" spans="1:19" ht="60">
      <c r="A54" s="5" t="s">
        <v>353</v>
      </c>
      <c r="B54" s="20" t="s">
        <v>354</v>
      </c>
      <c r="C54" s="6" t="s">
        <v>480</v>
      </c>
      <c r="D54" s="7">
        <v>350</v>
      </c>
      <c r="E54" s="7">
        <v>565</v>
      </c>
      <c r="F54" s="81">
        <v>161</v>
      </c>
      <c r="G54" s="8">
        <v>15</v>
      </c>
      <c r="H54" s="8">
        <v>20</v>
      </c>
      <c r="I54" s="9">
        <v>39422</v>
      </c>
      <c r="J54" s="9">
        <v>39452</v>
      </c>
      <c r="K54" s="10">
        <v>30</v>
      </c>
      <c r="L54" s="10">
        <v>4</v>
      </c>
      <c r="M54" s="10">
        <v>0</v>
      </c>
      <c r="N54" s="11" t="s">
        <v>465</v>
      </c>
      <c r="O54" s="11" t="s">
        <v>640</v>
      </c>
      <c r="P54" s="11" t="s">
        <v>447</v>
      </c>
      <c r="Q54" s="11" t="s">
        <v>607</v>
      </c>
      <c r="R54" s="11"/>
      <c r="S54" s="11"/>
    </row>
    <row r="55" spans="1:19" ht="72">
      <c r="A55" s="5" t="s">
        <v>355</v>
      </c>
      <c r="B55" s="20" t="s">
        <v>356</v>
      </c>
      <c r="C55" s="6" t="s">
        <v>639</v>
      </c>
      <c r="D55" s="7">
        <v>1000</v>
      </c>
      <c r="E55" s="7">
        <v>1003</v>
      </c>
      <c r="F55" s="81">
        <v>100</v>
      </c>
      <c r="G55" s="8">
        <v>22</v>
      </c>
      <c r="H55" s="8">
        <v>13</v>
      </c>
      <c r="I55" s="9">
        <v>39427</v>
      </c>
      <c r="J55" s="9">
        <v>39487</v>
      </c>
      <c r="K55" s="10">
        <v>50</v>
      </c>
      <c r="L55" s="10">
        <v>0</v>
      </c>
      <c r="M55" s="10">
        <v>0</v>
      </c>
      <c r="N55" s="11" t="s">
        <v>538</v>
      </c>
      <c r="O55" s="11" t="s">
        <v>587</v>
      </c>
      <c r="P55" s="11" t="s">
        <v>641</v>
      </c>
      <c r="Q55" s="11" t="s">
        <v>511</v>
      </c>
      <c r="R55" s="11"/>
      <c r="S55" s="11"/>
    </row>
    <row r="56" spans="1:19" ht="72">
      <c r="A56" s="5" t="s">
        <v>357</v>
      </c>
      <c r="B56" s="20" t="s">
        <v>417</v>
      </c>
      <c r="C56" s="6" t="s">
        <v>585</v>
      </c>
      <c r="D56" s="7">
        <v>2000</v>
      </c>
      <c r="E56" s="7">
        <v>2613</v>
      </c>
      <c r="F56" s="81">
        <v>130</v>
      </c>
      <c r="G56" s="8">
        <v>55</v>
      </c>
      <c r="H56" s="8">
        <v>227</v>
      </c>
      <c r="I56" s="9">
        <v>39428</v>
      </c>
      <c r="J56" s="9">
        <v>39458</v>
      </c>
      <c r="K56" s="10">
        <v>30</v>
      </c>
      <c r="L56" s="10">
        <v>4</v>
      </c>
      <c r="M56" s="10">
        <v>1</v>
      </c>
      <c r="N56" s="11" t="s">
        <v>534</v>
      </c>
      <c r="O56" s="11" t="s">
        <v>587</v>
      </c>
      <c r="P56" s="11" t="s">
        <v>587</v>
      </c>
      <c r="Q56" s="11" t="s">
        <v>418</v>
      </c>
      <c r="R56" s="11"/>
      <c r="S56" s="11"/>
    </row>
    <row r="57" spans="1:19" ht="72">
      <c r="A57" s="5" t="s">
        <v>416</v>
      </c>
      <c r="B57" s="20" t="s">
        <v>483</v>
      </c>
      <c r="C57" s="6" t="s">
        <v>639</v>
      </c>
      <c r="D57" s="7">
        <v>1000</v>
      </c>
      <c r="E57" s="7">
        <v>1127</v>
      </c>
      <c r="F57" s="81">
        <v>112</v>
      </c>
      <c r="G57" s="8">
        <v>45</v>
      </c>
      <c r="H57" s="8">
        <v>152</v>
      </c>
      <c r="I57" s="9">
        <v>39431</v>
      </c>
      <c r="J57" s="9">
        <v>39466</v>
      </c>
      <c r="K57" s="10">
        <v>35</v>
      </c>
      <c r="L57" s="10">
        <v>4</v>
      </c>
      <c r="M57" s="10">
        <v>6</v>
      </c>
      <c r="N57" s="11" t="s">
        <v>614</v>
      </c>
      <c r="O57" s="11" t="s">
        <v>615</v>
      </c>
      <c r="P57" s="11" t="s">
        <v>614</v>
      </c>
      <c r="Q57" s="11" t="s">
        <v>484</v>
      </c>
      <c r="R57" s="11"/>
      <c r="S57" s="11"/>
    </row>
    <row r="58" spans="1:19" ht="60">
      <c r="A58" s="5" t="s">
        <v>485</v>
      </c>
      <c r="B58" s="20" t="s">
        <v>563</v>
      </c>
      <c r="C58" s="6" t="s">
        <v>639</v>
      </c>
      <c r="D58" s="7">
        <v>2200</v>
      </c>
      <c r="E58" s="7">
        <v>2307</v>
      </c>
      <c r="F58" s="81">
        <v>104</v>
      </c>
      <c r="G58" s="8">
        <v>82</v>
      </c>
      <c r="H58" s="8">
        <v>168</v>
      </c>
      <c r="I58" s="9">
        <v>39434</v>
      </c>
      <c r="J58" s="9">
        <v>39472</v>
      </c>
      <c r="K58" s="10">
        <v>48</v>
      </c>
      <c r="L58" s="10">
        <v>15</v>
      </c>
      <c r="M58" s="10">
        <v>5</v>
      </c>
      <c r="N58" s="11" t="s">
        <v>564</v>
      </c>
      <c r="O58" s="11" t="s">
        <v>577</v>
      </c>
      <c r="P58" s="11" t="s">
        <v>641</v>
      </c>
      <c r="Q58" s="11" t="s">
        <v>565</v>
      </c>
      <c r="R58" s="11"/>
      <c r="S58" s="11"/>
    </row>
    <row r="59" spans="1:19" ht="60">
      <c r="A59" s="5" t="s">
        <v>427</v>
      </c>
      <c r="B59" s="20" t="s">
        <v>428</v>
      </c>
      <c r="C59" s="6" t="s">
        <v>429</v>
      </c>
      <c r="D59" s="7">
        <v>10000</v>
      </c>
      <c r="E59" s="7">
        <v>32330</v>
      </c>
      <c r="F59" s="82">
        <v>323</v>
      </c>
      <c r="G59" s="8">
        <v>156</v>
      </c>
      <c r="H59" s="8">
        <v>408</v>
      </c>
      <c r="I59" s="9">
        <v>39434</v>
      </c>
      <c r="J59" s="9">
        <v>39469</v>
      </c>
      <c r="K59" s="10">
        <v>35</v>
      </c>
      <c r="L59" s="10">
        <v>25</v>
      </c>
      <c r="M59" s="10">
        <v>270</v>
      </c>
      <c r="N59" s="11" t="s">
        <v>430</v>
      </c>
      <c r="O59" s="11" t="s">
        <v>430</v>
      </c>
      <c r="P59" s="11" t="s">
        <v>641</v>
      </c>
      <c r="Q59" s="11" t="s">
        <v>431</v>
      </c>
      <c r="R59" s="11"/>
      <c r="S59" s="11"/>
    </row>
    <row r="60" spans="1:19" ht="72">
      <c r="A60" s="5" t="s">
        <v>432</v>
      </c>
      <c r="B60" s="20" t="s">
        <v>370</v>
      </c>
      <c r="C60" s="6" t="s">
        <v>480</v>
      </c>
      <c r="D60" s="7">
        <v>350</v>
      </c>
      <c r="E60" s="7">
        <v>4440</v>
      </c>
      <c r="F60" s="81">
        <v>1268</v>
      </c>
      <c r="G60" s="8">
        <v>110</v>
      </c>
      <c r="H60" s="8">
        <v>56</v>
      </c>
      <c r="I60" s="9">
        <v>39454</v>
      </c>
      <c r="J60" s="9">
        <v>39493</v>
      </c>
      <c r="K60" s="10">
        <v>39</v>
      </c>
      <c r="L60" s="10">
        <v>11</v>
      </c>
      <c r="M60" s="10">
        <v>6</v>
      </c>
      <c r="N60" s="11" t="s">
        <v>465</v>
      </c>
      <c r="O60" s="11" t="s">
        <v>640</v>
      </c>
      <c r="P60" s="11" t="s">
        <v>447</v>
      </c>
      <c r="Q60" s="11" t="s">
        <v>607</v>
      </c>
      <c r="R60" s="11"/>
      <c r="S60" s="11"/>
    </row>
    <row r="61" spans="1:19" ht="48">
      <c r="A61" s="5" t="s">
        <v>317</v>
      </c>
      <c r="B61" s="20" t="s">
        <v>371</v>
      </c>
      <c r="C61" s="6" t="s">
        <v>639</v>
      </c>
      <c r="D61" s="7">
        <v>2400</v>
      </c>
      <c r="E61" s="7">
        <v>3694</v>
      </c>
      <c r="F61" s="81">
        <v>153</v>
      </c>
      <c r="G61" s="8">
        <v>84</v>
      </c>
      <c r="H61" s="8">
        <v>147</v>
      </c>
      <c r="I61" s="9">
        <v>39455</v>
      </c>
      <c r="J61" s="9">
        <v>39479</v>
      </c>
      <c r="K61" s="10">
        <v>24</v>
      </c>
      <c r="L61" s="10">
        <v>5</v>
      </c>
      <c r="M61" s="10">
        <v>23</v>
      </c>
      <c r="N61" s="11" t="s">
        <v>630</v>
      </c>
      <c r="O61" s="11" t="s">
        <v>630</v>
      </c>
      <c r="P61" s="11" t="s">
        <v>441</v>
      </c>
      <c r="Q61" s="11" t="s">
        <v>442</v>
      </c>
      <c r="R61" s="11"/>
      <c r="S61" s="11"/>
    </row>
    <row r="62" spans="1:19" ht="72">
      <c r="A62" s="5" t="s">
        <v>443</v>
      </c>
      <c r="B62" s="20" t="s">
        <v>320</v>
      </c>
      <c r="C62" s="6" t="s">
        <v>321</v>
      </c>
      <c r="D62" s="7">
        <v>1500</v>
      </c>
      <c r="E62" s="7">
        <v>1842</v>
      </c>
      <c r="F62" s="81">
        <v>122</v>
      </c>
      <c r="G62" s="8">
        <v>79</v>
      </c>
      <c r="H62" s="8">
        <v>116</v>
      </c>
      <c r="I62" s="9">
        <v>39457</v>
      </c>
      <c r="J62" s="9">
        <v>39507</v>
      </c>
      <c r="K62" s="10">
        <v>48</v>
      </c>
      <c r="L62" s="10">
        <v>4</v>
      </c>
      <c r="M62" s="10">
        <v>6</v>
      </c>
      <c r="N62" s="11" t="s">
        <v>538</v>
      </c>
      <c r="O62" s="11" t="s">
        <v>587</v>
      </c>
      <c r="P62" s="11" t="s">
        <v>641</v>
      </c>
      <c r="Q62" s="11" t="s">
        <v>511</v>
      </c>
      <c r="R62" s="11"/>
      <c r="S62" s="11"/>
    </row>
    <row r="63" spans="1:19" ht="96">
      <c r="A63" s="5" t="s">
        <v>322</v>
      </c>
      <c r="B63" s="20" t="s">
        <v>323</v>
      </c>
      <c r="C63" s="6" t="s">
        <v>613</v>
      </c>
      <c r="D63" s="7">
        <v>1000</v>
      </c>
      <c r="E63" s="7">
        <v>2295</v>
      </c>
      <c r="F63" s="81">
        <v>229</v>
      </c>
      <c r="G63" s="8">
        <v>33</v>
      </c>
      <c r="H63" s="8">
        <v>9</v>
      </c>
      <c r="I63" s="9">
        <v>39465</v>
      </c>
      <c r="J63" s="9">
        <v>39508</v>
      </c>
      <c r="K63" s="10">
        <v>42</v>
      </c>
      <c r="L63" s="10">
        <v>2</v>
      </c>
      <c r="M63" s="10">
        <v>0</v>
      </c>
      <c r="N63" s="11" t="s">
        <v>615</v>
      </c>
      <c r="O63" s="11" t="s">
        <v>615</v>
      </c>
      <c r="P63" s="11" t="s">
        <v>641</v>
      </c>
      <c r="Q63" s="11" t="s">
        <v>616</v>
      </c>
      <c r="R63" s="11"/>
      <c r="S63" s="11"/>
    </row>
    <row r="64" spans="1:19" ht="60">
      <c r="A64" s="5" t="s">
        <v>324</v>
      </c>
      <c r="B64" s="20" t="s">
        <v>325</v>
      </c>
      <c r="C64" s="6" t="s">
        <v>639</v>
      </c>
      <c r="D64" s="7">
        <v>900</v>
      </c>
      <c r="E64" s="7">
        <v>900</v>
      </c>
      <c r="F64" s="81">
        <v>100</v>
      </c>
      <c r="G64" s="8">
        <v>2</v>
      </c>
      <c r="H64" s="8">
        <v>1</v>
      </c>
      <c r="I64" s="9">
        <v>39472</v>
      </c>
      <c r="J64" s="9">
        <v>39494</v>
      </c>
      <c r="K64" s="10">
        <v>22</v>
      </c>
      <c r="L64" s="10">
        <v>1</v>
      </c>
      <c r="M64" s="10">
        <v>0</v>
      </c>
      <c r="N64" s="11" t="s">
        <v>326</v>
      </c>
      <c r="O64" s="11" t="s">
        <v>615</v>
      </c>
      <c r="P64" s="11" t="s">
        <v>641</v>
      </c>
      <c r="Q64" s="11" t="s">
        <v>529</v>
      </c>
      <c r="R64" s="11"/>
      <c r="S64" s="11"/>
    </row>
    <row r="65" spans="1:19" ht="60">
      <c r="A65" s="5" t="s">
        <v>327</v>
      </c>
      <c r="B65" s="20" t="s">
        <v>328</v>
      </c>
      <c r="C65" s="6" t="s">
        <v>639</v>
      </c>
      <c r="D65" s="7">
        <v>5000</v>
      </c>
      <c r="E65" s="7">
        <v>7613</v>
      </c>
      <c r="F65" s="81">
        <v>152</v>
      </c>
      <c r="G65" s="8">
        <v>195</v>
      </c>
      <c r="H65" s="8">
        <v>120</v>
      </c>
      <c r="I65" s="9">
        <v>39490</v>
      </c>
      <c r="J65" s="9">
        <v>39530</v>
      </c>
      <c r="K65" s="10">
        <v>39</v>
      </c>
      <c r="L65" s="10">
        <v>9</v>
      </c>
      <c r="M65" s="10">
        <v>11</v>
      </c>
      <c r="N65" s="11" t="s">
        <v>472</v>
      </c>
      <c r="O65" s="11" t="s">
        <v>125</v>
      </c>
      <c r="P65" s="11" t="s">
        <v>641</v>
      </c>
      <c r="Q65" s="11" t="s">
        <v>329</v>
      </c>
      <c r="R65" s="11"/>
      <c r="S65" s="11"/>
    </row>
    <row r="66" spans="1:19" ht="72">
      <c r="A66" s="5" t="s">
        <v>330</v>
      </c>
      <c r="B66" s="20" t="s">
        <v>386</v>
      </c>
      <c r="C66" s="6" t="s">
        <v>387</v>
      </c>
      <c r="D66" s="7">
        <v>20000</v>
      </c>
      <c r="E66" s="7">
        <v>167</v>
      </c>
      <c r="F66" s="81">
        <v>8</v>
      </c>
      <c r="G66" s="8">
        <v>4</v>
      </c>
      <c r="H66" s="8">
        <v>20</v>
      </c>
      <c r="I66" s="9">
        <v>39491</v>
      </c>
      <c r="J66" s="9">
        <v>39521</v>
      </c>
      <c r="K66" s="10">
        <v>29</v>
      </c>
      <c r="L66" s="10">
        <v>0</v>
      </c>
      <c r="M66" s="10">
        <v>0</v>
      </c>
      <c r="N66" s="11" t="s">
        <v>388</v>
      </c>
      <c r="O66" s="11" t="s">
        <v>26</v>
      </c>
      <c r="P66" s="11" t="s">
        <v>641</v>
      </c>
      <c r="Q66" s="11"/>
      <c r="R66" s="11"/>
      <c r="S66" s="11"/>
    </row>
    <row r="67" spans="1:19" ht="72">
      <c r="A67" s="5" t="s">
        <v>385</v>
      </c>
      <c r="B67" s="20" t="s">
        <v>455</v>
      </c>
      <c r="C67" s="6" t="s">
        <v>639</v>
      </c>
      <c r="D67" s="7">
        <v>5000</v>
      </c>
      <c r="E67" s="7">
        <v>5206</v>
      </c>
      <c r="F67" s="81">
        <v>104</v>
      </c>
      <c r="G67" s="8">
        <v>96</v>
      </c>
      <c r="H67" s="8">
        <v>183</v>
      </c>
      <c r="I67" s="9">
        <v>39497</v>
      </c>
      <c r="J67" s="9">
        <v>39506</v>
      </c>
      <c r="K67" s="10">
        <v>9</v>
      </c>
      <c r="L67" s="10">
        <v>19</v>
      </c>
      <c r="M67" s="10">
        <v>4</v>
      </c>
      <c r="N67" s="11" t="s">
        <v>456</v>
      </c>
      <c r="O67" s="11" t="s">
        <v>50</v>
      </c>
      <c r="P67" s="11" t="s">
        <v>641</v>
      </c>
      <c r="Q67" s="11" t="s">
        <v>413</v>
      </c>
      <c r="R67" s="11"/>
      <c r="S67" s="11"/>
    </row>
    <row r="68" spans="1:19" ht="60">
      <c r="A68" s="5" t="s">
        <v>518</v>
      </c>
      <c r="B68" s="20" t="s">
        <v>519</v>
      </c>
      <c r="C68" s="6" t="s">
        <v>639</v>
      </c>
      <c r="D68" s="7">
        <v>41000</v>
      </c>
      <c r="E68" s="7">
        <v>41291</v>
      </c>
      <c r="F68" s="81">
        <v>100</v>
      </c>
      <c r="G68" s="8">
        <v>114</v>
      </c>
      <c r="H68" s="8">
        <v>141</v>
      </c>
      <c r="I68" s="9">
        <v>39497</v>
      </c>
      <c r="J68" s="9">
        <v>39542</v>
      </c>
      <c r="K68" s="10">
        <v>44</v>
      </c>
      <c r="L68" s="10">
        <v>14</v>
      </c>
      <c r="M68" s="10">
        <v>17</v>
      </c>
      <c r="N68" s="11" t="s">
        <v>472</v>
      </c>
      <c r="O68" s="11" t="s">
        <v>125</v>
      </c>
      <c r="P68" s="11" t="s">
        <v>641</v>
      </c>
      <c r="Q68" s="11" t="s">
        <v>329</v>
      </c>
      <c r="R68" s="11"/>
      <c r="S68" s="11"/>
    </row>
    <row r="69" spans="1:19" ht="60">
      <c r="A69" s="5" t="s">
        <v>520</v>
      </c>
      <c r="B69" s="20" t="s">
        <v>398</v>
      </c>
      <c r="C69" s="6" t="s">
        <v>639</v>
      </c>
      <c r="D69" s="7">
        <v>75000</v>
      </c>
      <c r="E69" s="7">
        <v>89700</v>
      </c>
      <c r="F69" s="82">
        <v>120</v>
      </c>
      <c r="G69" s="8">
        <v>1976</v>
      </c>
      <c r="H69" s="8">
        <v>16390</v>
      </c>
      <c r="I69" s="9">
        <v>39499</v>
      </c>
      <c r="J69" s="9">
        <v>39531</v>
      </c>
      <c r="K69" s="10">
        <v>31</v>
      </c>
      <c r="L69" s="10">
        <v>28</v>
      </c>
      <c r="M69" s="10">
        <v>148</v>
      </c>
      <c r="N69" s="11" t="s">
        <v>475</v>
      </c>
      <c r="O69" s="11" t="s">
        <v>50</v>
      </c>
      <c r="P69" s="11" t="s">
        <v>641</v>
      </c>
      <c r="Q69" s="11" t="s">
        <v>475</v>
      </c>
      <c r="R69" s="11"/>
      <c r="S69" s="11"/>
    </row>
    <row r="70" spans="1:19" ht="24">
      <c r="A70" s="5" t="s">
        <v>399</v>
      </c>
      <c r="B70" s="20" t="s">
        <v>400</v>
      </c>
      <c r="C70" s="6" t="s">
        <v>639</v>
      </c>
      <c r="D70" s="7">
        <v>500</v>
      </c>
      <c r="E70" s="7">
        <v>773</v>
      </c>
      <c r="F70" s="81">
        <v>154</v>
      </c>
      <c r="G70" s="8">
        <v>20</v>
      </c>
      <c r="H70" s="8">
        <v>72</v>
      </c>
      <c r="I70" s="9">
        <v>39500</v>
      </c>
      <c r="J70" s="9">
        <v>39530</v>
      </c>
      <c r="K70" s="10">
        <v>30</v>
      </c>
      <c r="L70" s="10">
        <v>4</v>
      </c>
      <c r="M70" s="10">
        <v>1</v>
      </c>
      <c r="N70" s="11" t="s">
        <v>401</v>
      </c>
      <c r="O70" s="11" t="s">
        <v>615</v>
      </c>
      <c r="P70" s="11" t="s">
        <v>641</v>
      </c>
      <c r="Q70" s="11" t="s">
        <v>402</v>
      </c>
      <c r="R70" s="11"/>
      <c r="S70" s="11"/>
    </row>
    <row r="71" spans="1:19" ht="72">
      <c r="A71" s="5" t="s">
        <v>403</v>
      </c>
      <c r="B71" s="20" t="s">
        <v>343</v>
      </c>
      <c r="C71" s="6" t="s">
        <v>639</v>
      </c>
      <c r="D71" s="7">
        <v>3000</v>
      </c>
      <c r="E71" s="7">
        <v>3260</v>
      </c>
      <c r="F71" s="81">
        <v>108</v>
      </c>
      <c r="G71" s="8">
        <v>27</v>
      </c>
      <c r="H71" s="8">
        <v>88</v>
      </c>
      <c r="I71" s="9">
        <v>39502</v>
      </c>
      <c r="J71" s="9">
        <v>39562</v>
      </c>
      <c r="K71" s="10">
        <v>60</v>
      </c>
      <c r="L71" s="10">
        <v>5</v>
      </c>
      <c r="M71" s="10">
        <v>0</v>
      </c>
      <c r="N71" s="11" t="s">
        <v>538</v>
      </c>
      <c r="O71" s="11" t="s">
        <v>587</v>
      </c>
      <c r="P71" s="11" t="s">
        <v>641</v>
      </c>
      <c r="Q71" s="11" t="s">
        <v>511</v>
      </c>
      <c r="R71" s="11"/>
      <c r="S71" s="11"/>
    </row>
    <row r="72" spans="1:19" ht="60">
      <c r="A72" s="5" t="s">
        <v>344</v>
      </c>
      <c r="B72" s="20" t="s">
        <v>407</v>
      </c>
      <c r="C72" s="6" t="s">
        <v>639</v>
      </c>
      <c r="D72" s="7">
        <v>6000</v>
      </c>
      <c r="E72" s="7">
        <v>6154</v>
      </c>
      <c r="F72" s="81">
        <v>102</v>
      </c>
      <c r="G72" s="8">
        <v>80</v>
      </c>
      <c r="H72" s="8">
        <v>267</v>
      </c>
      <c r="I72" s="9">
        <v>39506</v>
      </c>
      <c r="J72" s="9">
        <v>39536</v>
      </c>
      <c r="K72" s="10">
        <v>31</v>
      </c>
      <c r="L72" s="10">
        <v>1</v>
      </c>
      <c r="M72" s="10">
        <v>9</v>
      </c>
      <c r="N72" s="11" t="s">
        <v>587</v>
      </c>
      <c r="O72" s="11" t="s">
        <v>587</v>
      </c>
      <c r="P72" s="11" t="s">
        <v>641</v>
      </c>
      <c r="Q72" s="11" t="s">
        <v>627</v>
      </c>
      <c r="R72" s="11"/>
      <c r="S72" s="11"/>
    </row>
    <row r="73" spans="1:19" ht="72">
      <c r="A73" s="5" t="s">
        <v>408</v>
      </c>
      <c r="B73" s="20" t="s">
        <v>285</v>
      </c>
      <c r="C73" s="6" t="s">
        <v>613</v>
      </c>
      <c r="D73" s="7">
        <v>2000</v>
      </c>
      <c r="E73" s="7">
        <v>2296</v>
      </c>
      <c r="F73" s="81">
        <v>114</v>
      </c>
      <c r="G73" s="8">
        <v>17</v>
      </c>
      <c r="H73" s="8">
        <v>1</v>
      </c>
      <c r="I73" s="9">
        <v>39512</v>
      </c>
      <c r="J73" s="9">
        <v>39542</v>
      </c>
      <c r="K73" s="10">
        <v>30</v>
      </c>
      <c r="L73" s="10">
        <v>4</v>
      </c>
      <c r="M73" s="10">
        <v>2</v>
      </c>
      <c r="N73" s="11" t="s">
        <v>630</v>
      </c>
      <c r="O73" s="11" t="s">
        <v>630</v>
      </c>
      <c r="P73" s="11" t="s">
        <v>641</v>
      </c>
      <c r="Q73" s="11" t="s">
        <v>286</v>
      </c>
      <c r="R73" s="11"/>
      <c r="S73" s="11"/>
    </row>
    <row r="74" spans="1:19" ht="60">
      <c r="A74" s="5" t="s">
        <v>287</v>
      </c>
      <c r="B74" s="20" t="s">
        <v>288</v>
      </c>
      <c r="C74" s="6" t="s">
        <v>639</v>
      </c>
      <c r="D74" s="7">
        <v>5000</v>
      </c>
      <c r="E74" s="7">
        <v>11577</v>
      </c>
      <c r="F74" s="81">
        <v>231</v>
      </c>
      <c r="G74" s="8">
        <v>874</v>
      </c>
      <c r="H74" s="8">
        <v>0</v>
      </c>
      <c r="I74" s="9">
        <v>39513</v>
      </c>
      <c r="J74" s="9">
        <v>39543</v>
      </c>
      <c r="K74" s="10">
        <v>30</v>
      </c>
      <c r="L74" s="10">
        <v>26</v>
      </c>
      <c r="M74" s="10">
        <v>75</v>
      </c>
      <c r="N74" s="11" t="s">
        <v>472</v>
      </c>
      <c r="O74" s="11" t="s">
        <v>125</v>
      </c>
      <c r="P74" s="11" t="s">
        <v>641</v>
      </c>
      <c r="Q74" s="11" t="s">
        <v>329</v>
      </c>
      <c r="R74" s="11"/>
      <c r="S74" s="11"/>
    </row>
    <row r="75" spans="1:19" ht="60">
      <c r="A75" s="5" t="s">
        <v>289</v>
      </c>
      <c r="B75" s="20" t="s">
        <v>290</v>
      </c>
      <c r="C75" s="6" t="s">
        <v>291</v>
      </c>
      <c r="D75" s="7">
        <v>6800</v>
      </c>
      <c r="E75" s="7">
        <v>7058</v>
      </c>
      <c r="F75" s="81">
        <v>103</v>
      </c>
      <c r="G75" s="8">
        <v>137</v>
      </c>
      <c r="H75" s="8">
        <v>336</v>
      </c>
      <c r="I75" s="9">
        <v>39517</v>
      </c>
      <c r="J75" s="9">
        <v>39544</v>
      </c>
      <c r="K75" s="10">
        <v>26</v>
      </c>
      <c r="L75" s="10">
        <v>6</v>
      </c>
      <c r="M75" s="10">
        <v>4</v>
      </c>
      <c r="N75" s="11" t="s">
        <v>292</v>
      </c>
      <c r="O75" s="11" t="s">
        <v>587</v>
      </c>
      <c r="P75" s="11" t="s">
        <v>641</v>
      </c>
      <c r="Q75" s="11" t="s">
        <v>577</v>
      </c>
      <c r="R75" s="11"/>
      <c r="S75" s="11"/>
    </row>
    <row r="76" spans="1:19" ht="60">
      <c r="A76" s="5" t="s">
        <v>293</v>
      </c>
      <c r="B76" s="20" t="s">
        <v>294</v>
      </c>
      <c r="C76" s="6" t="s">
        <v>295</v>
      </c>
      <c r="D76" s="7">
        <v>10000</v>
      </c>
      <c r="E76" s="7">
        <v>10623</v>
      </c>
      <c r="F76" s="81">
        <v>106</v>
      </c>
      <c r="G76" s="8">
        <v>117</v>
      </c>
      <c r="H76" s="8">
        <v>739</v>
      </c>
      <c r="I76" s="9">
        <v>39518</v>
      </c>
      <c r="J76" s="9">
        <v>39549</v>
      </c>
      <c r="K76" s="10">
        <v>30</v>
      </c>
      <c r="L76" s="10">
        <v>3</v>
      </c>
      <c r="M76" s="10">
        <v>1</v>
      </c>
      <c r="N76" s="11" t="s">
        <v>564</v>
      </c>
      <c r="O76" s="11" t="s">
        <v>577</v>
      </c>
      <c r="P76" s="11" t="s">
        <v>296</v>
      </c>
      <c r="Q76" s="11" t="s">
        <v>413</v>
      </c>
      <c r="R76" s="11"/>
      <c r="S76" s="11"/>
    </row>
    <row r="77" spans="1:19" ht="72">
      <c r="A77" s="5" t="s">
        <v>297</v>
      </c>
      <c r="B77" s="20" t="s">
        <v>358</v>
      </c>
      <c r="C77" s="6" t="s">
        <v>359</v>
      </c>
      <c r="D77" s="7">
        <v>8500</v>
      </c>
      <c r="E77" s="7">
        <v>9345</v>
      </c>
      <c r="F77" s="81">
        <v>109</v>
      </c>
      <c r="G77" s="8">
        <v>156</v>
      </c>
      <c r="H77" s="8">
        <v>422</v>
      </c>
      <c r="I77" s="9">
        <v>39520</v>
      </c>
      <c r="J77" s="9">
        <v>39552</v>
      </c>
      <c r="K77" s="10">
        <v>30</v>
      </c>
      <c r="L77" s="10">
        <v>16</v>
      </c>
      <c r="M77" s="10">
        <v>3</v>
      </c>
      <c r="N77" s="11" t="s">
        <v>615</v>
      </c>
      <c r="O77" s="11" t="s">
        <v>615</v>
      </c>
      <c r="P77" s="11" t="s">
        <v>360</v>
      </c>
      <c r="Q77" s="11" t="s">
        <v>632</v>
      </c>
      <c r="R77" s="11"/>
      <c r="S77" s="11"/>
    </row>
    <row r="78" spans="1:19" ht="60">
      <c r="A78" s="5" t="s">
        <v>419</v>
      </c>
      <c r="B78" s="20" t="s">
        <v>486</v>
      </c>
      <c r="C78" s="6" t="s">
        <v>498</v>
      </c>
      <c r="D78" s="7">
        <v>9000</v>
      </c>
      <c r="E78" s="7">
        <v>9633</v>
      </c>
      <c r="F78" s="81">
        <v>107</v>
      </c>
      <c r="G78" s="8">
        <v>155</v>
      </c>
      <c r="H78" s="8">
        <v>394</v>
      </c>
      <c r="I78" s="9">
        <v>39520</v>
      </c>
      <c r="J78" s="9">
        <v>39550</v>
      </c>
      <c r="K78" s="10">
        <v>30</v>
      </c>
      <c r="L78" s="10">
        <v>5</v>
      </c>
      <c r="M78" s="10">
        <v>6</v>
      </c>
      <c r="N78" s="11" t="s">
        <v>502</v>
      </c>
      <c r="O78" s="11" t="s">
        <v>577</v>
      </c>
      <c r="P78" s="11" t="s">
        <v>641</v>
      </c>
      <c r="Q78" s="11" t="s">
        <v>502</v>
      </c>
      <c r="R78" s="11"/>
      <c r="S78" s="11"/>
    </row>
    <row r="79" spans="1:19" ht="72">
      <c r="A79" s="5" t="s">
        <v>487</v>
      </c>
      <c r="B79" s="20" t="s">
        <v>488</v>
      </c>
      <c r="C79" s="6" t="s">
        <v>505</v>
      </c>
      <c r="D79" s="7">
        <v>1500</v>
      </c>
      <c r="E79" s="7">
        <v>2365</v>
      </c>
      <c r="F79" s="81">
        <v>127</v>
      </c>
      <c r="G79" s="8">
        <v>32</v>
      </c>
      <c r="H79" s="8">
        <v>73</v>
      </c>
      <c r="I79" s="9">
        <v>39523</v>
      </c>
      <c r="J79" s="9">
        <v>39544</v>
      </c>
      <c r="K79" s="10">
        <v>20</v>
      </c>
      <c r="L79" s="10">
        <v>5</v>
      </c>
      <c r="M79" s="10">
        <v>1</v>
      </c>
      <c r="N79" s="11" t="s">
        <v>587</v>
      </c>
      <c r="O79" s="11" t="s">
        <v>587</v>
      </c>
      <c r="P79" s="11" t="s">
        <v>641</v>
      </c>
      <c r="Q79" s="11" t="s">
        <v>577</v>
      </c>
      <c r="R79" s="11"/>
      <c r="S79" s="11"/>
    </row>
    <row r="80" spans="1:19" ht="60">
      <c r="A80" s="5" t="s">
        <v>489</v>
      </c>
      <c r="B80" s="20" t="s">
        <v>490</v>
      </c>
      <c r="C80" s="6" t="s">
        <v>480</v>
      </c>
      <c r="D80" s="7">
        <v>350</v>
      </c>
      <c r="E80" s="7">
        <v>1500</v>
      </c>
      <c r="F80" s="81">
        <v>428</v>
      </c>
      <c r="G80" s="8">
        <v>31</v>
      </c>
      <c r="H80" s="8">
        <v>116</v>
      </c>
      <c r="I80" s="9">
        <v>39527</v>
      </c>
      <c r="J80" s="9">
        <v>39561</v>
      </c>
      <c r="K80" s="10">
        <v>33</v>
      </c>
      <c r="L80" s="10">
        <v>9</v>
      </c>
      <c r="M80" s="10">
        <v>0</v>
      </c>
      <c r="N80" s="11" t="s">
        <v>465</v>
      </c>
      <c r="O80" s="11" t="s">
        <v>640</v>
      </c>
      <c r="P80" s="11" t="s">
        <v>447</v>
      </c>
      <c r="Q80" s="11" t="s">
        <v>607</v>
      </c>
      <c r="R80" s="11"/>
      <c r="S80" s="11"/>
    </row>
    <row r="81" spans="1:19" ht="72">
      <c r="A81" s="5" t="s">
        <v>426</v>
      </c>
      <c r="B81" s="20" t="s">
        <v>367</v>
      </c>
      <c r="C81" s="6" t="s">
        <v>613</v>
      </c>
      <c r="D81" s="7">
        <v>500</v>
      </c>
      <c r="E81" s="7">
        <v>675</v>
      </c>
      <c r="F81" s="81">
        <v>135</v>
      </c>
      <c r="G81" s="8">
        <v>13</v>
      </c>
      <c r="H81" s="8">
        <v>9</v>
      </c>
      <c r="I81" s="9">
        <v>39527</v>
      </c>
      <c r="J81" s="9">
        <v>39567</v>
      </c>
      <c r="K81" s="10">
        <v>39</v>
      </c>
      <c r="L81" s="10">
        <v>3</v>
      </c>
      <c r="M81" s="10">
        <v>0</v>
      </c>
      <c r="N81" s="11" t="s">
        <v>531</v>
      </c>
      <c r="O81" s="11" t="s">
        <v>615</v>
      </c>
      <c r="P81" s="11" t="s">
        <v>641</v>
      </c>
      <c r="Q81" s="11" t="s">
        <v>616</v>
      </c>
      <c r="R81" s="11"/>
      <c r="S81" s="11"/>
    </row>
    <row r="82" spans="1:19" ht="72">
      <c r="A82" s="5" t="s">
        <v>368</v>
      </c>
      <c r="B82" s="20" t="s">
        <v>369</v>
      </c>
      <c r="C82" s="6" t="s">
        <v>613</v>
      </c>
      <c r="D82" s="7">
        <v>2800</v>
      </c>
      <c r="E82" s="7">
        <v>2930</v>
      </c>
      <c r="F82" s="81">
        <v>104</v>
      </c>
      <c r="G82" s="8">
        <v>41</v>
      </c>
      <c r="H82" s="8">
        <v>104</v>
      </c>
      <c r="I82" s="9">
        <v>39533</v>
      </c>
      <c r="J82" s="9">
        <v>39578</v>
      </c>
      <c r="K82" s="10">
        <v>45</v>
      </c>
      <c r="L82" s="10">
        <v>1</v>
      </c>
      <c r="M82" s="10">
        <v>1</v>
      </c>
      <c r="N82" s="11" t="s">
        <v>615</v>
      </c>
      <c r="O82" s="11" t="s">
        <v>615</v>
      </c>
      <c r="P82" s="11" t="s">
        <v>641</v>
      </c>
      <c r="Q82" s="11" t="s">
        <v>616</v>
      </c>
      <c r="R82" s="11"/>
      <c r="S82" s="11"/>
    </row>
    <row r="83" spans="1:19" ht="60">
      <c r="A83" s="5" t="s">
        <v>311</v>
      </c>
      <c r="B83" s="20" t="s">
        <v>312</v>
      </c>
      <c r="C83" s="6" t="s">
        <v>639</v>
      </c>
      <c r="D83" s="7">
        <v>5000</v>
      </c>
      <c r="E83" s="7">
        <v>5215</v>
      </c>
      <c r="F83" s="81">
        <v>104</v>
      </c>
      <c r="G83" s="8">
        <v>40</v>
      </c>
      <c r="H83" s="8">
        <v>654</v>
      </c>
      <c r="I83" s="9">
        <v>39534</v>
      </c>
      <c r="J83" s="9">
        <v>39594</v>
      </c>
      <c r="K83" s="10">
        <v>60</v>
      </c>
      <c r="L83" s="10">
        <v>5</v>
      </c>
      <c r="M83" s="10">
        <v>1</v>
      </c>
      <c r="N83" s="11" t="s">
        <v>292</v>
      </c>
      <c r="O83" s="11" t="s">
        <v>587</v>
      </c>
      <c r="P83" s="11" t="s">
        <v>641</v>
      </c>
      <c r="Q83" s="11" t="s">
        <v>586</v>
      </c>
      <c r="R83" s="11"/>
      <c r="S83" s="11"/>
    </row>
    <row r="84" spans="1:19" ht="72">
      <c r="A84" s="5" t="s">
        <v>313</v>
      </c>
      <c r="B84" s="20" t="s">
        <v>372</v>
      </c>
      <c r="C84" s="6" t="s">
        <v>585</v>
      </c>
      <c r="D84" s="7">
        <v>5395</v>
      </c>
      <c r="E84" s="7">
        <v>6559</v>
      </c>
      <c r="F84" s="81">
        <v>121</v>
      </c>
      <c r="G84" s="8">
        <v>52</v>
      </c>
      <c r="H84" s="8">
        <v>175</v>
      </c>
      <c r="I84" s="9">
        <v>39536</v>
      </c>
      <c r="J84" s="9">
        <v>39556</v>
      </c>
      <c r="K84" s="10">
        <v>20</v>
      </c>
      <c r="L84" s="10">
        <v>6</v>
      </c>
      <c r="M84" s="10">
        <v>8</v>
      </c>
      <c r="N84" s="11" t="s">
        <v>373</v>
      </c>
      <c r="O84" s="11" t="s">
        <v>587</v>
      </c>
      <c r="P84" s="11" t="s">
        <v>604</v>
      </c>
      <c r="Q84" s="11" t="s">
        <v>627</v>
      </c>
      <c r="R84" s="11"/>
      <c r="S84" s="11"/>
    </row>
    <row r="85" spans="1:19" ht="84">
      <c r="A85" s="5" t="s">
        <v>254</v>
      </c>
      <c r="B85" s="20" t="s">
        <v>255</v>
      </c>
      <c r="C85" s="6" t="s">
        <v>256</v>
      </c>
      <c r="D85" s="7">
        <v>25000</v>
      </c>
      <c r="E85" s="7">
        <v>33456</v>
      </c>
      <c r="F85" s="81">
        <v>133</v>
      </c>
      <c r="G85" s="8">
        <v>369</v>
      </c>
      <c r="H85" s="8">
        <v>1408</v>
      </c>
      <c r="I85" s="9">
        <v>39536</v>
      </c>
      <c r="J85" s="9">
        <v>39582</v>
      </c>
      <c r="K85" s="10">
        <v>15</v>
      </c>
      <c r="L85" s="10">
        <v>65</v>
      </c>
      <c r="M85" s="10">
        <v>48</v>
      </c>
      <c r="N85" s="11" t="s">
        <v>630</v>
      </c>
      <c r="O85" s="11" t="s">
        <v>630</v>
      </c>
      <c r="P85" s="11" t="s">
        <v>641</v>
      </c>
      <c r="Q85" s="11" t="s">
        <v>257</v>
      </c>
      <c r="R85" s="11"/>
      <c r="S85" s="11"/>
    </row>
    <row r="86" spans="1:19" ht="72">
      <c r="A86" s="5" t="s">
        <v>258</v>
      </c>
      <c r="B86" s="20" t="s">
        <v>259</v>
      </c>
      <c r="C86" s="6" t="s">
        <v>639</v>
      </c>
      <c r="D86" s="7">
        <v>5000</v>
      </c>
      <c r="E86" s="7">
        <v>7805</v>
      </c>
      <c r="F86" s="81">
        <v>156</v>
      </c>
      <c r="G86" s="8">
        <v>158</v>
      </c>
      <c r="H86" s="8">
        <v>449</v>
      </c>
      <c r="I86" s="9">
        <v>39538</v>
      </c>
      <c r="J86" s="9">
        <v>39578</v>
      </c>
      <c r="K86" s="10">
        <v>40</v>
      </c>
      <c r="L86" s="10">
        <v>8</v>
      </c>
      <c r="M86" s="10">
        <v>16</v>
      </c>
      <c r="N86" s="11" t="s">
        <v>472</v>
      </c>
      <c r="O86" s="11" t="s">
        <v>125</v>
      </c>
      <c r="P86" s="11" t="s">
        <v>641</v>
      </c>
      <c r="Q86" s="11" t="s">
        <v>260</v>
      </c>
      <c r="R86" s="11"/>
      <c r="S86" s="11"/>
    </row>
    <row r="87" spans="1:19" ht="60">
      <c r="A87" s="5" t="s">
        <v>261</v>
      </c>
      <c r="B87" s="20" t="s">
        <v>262</v>
      </c>
      <c r="C87" s="6" t="s">
        <v>498</v>
      </c>
      <c r="D87" s="7">
        <v>2900</v>
      </c>
      <c r="E87" s="7">
        <v>2900</v>
      </c>
      <c r="F87" s="81">
        <v>100</v>
      </c>
      <c r="G87" s="8">
        <v>24</v>
      </c>
      <c r="H87" s="8">
        <v>11</v>
      </c>
      <c r="I87" s="9">
        <v>39540</v>
      </c>
      <c r="J87" s="9">
        <v>39585</v>
      </c>
      <c r="K87" s="10">
        <v>45</v>
      </c>
      <c r="L87" s="10">
        <v>1</v>
      </c>
      <c r="M87" s="10">
        <v>0</v>
      </c>
      <c r="N87" s="11" t="s">
        <v>499</v>
      </c>
      <c r="O87" s="11" t="s">
        <v>125</v>
      </c>
      <c r="P87" s="11" t="s">
        <v>641</v>
      </c>
      <c r="Q87" s="11" t="s">
        <v>500</v>
      </c>
      <c r="R87" s="11"/>
      <c r="S87" s="11"/>
    </row>
    <row r="88" spans="1:19" ht="60">
      <c r="A88" s="5" t="s">
        <v>263</v>
      </c>
      <c r="B88" s="20" t="s">
        <v>264</v>
      </c>
      <c r="C88" s="6" t="s">
        <v>639</v>
      </c>
      <c r="D88" s="7">
        <v>11500</v>
      </c>
      <c r="E88" s="7">
        <v>11500</v>
      </c>
      <c r="F88" s="81">
        <v>100</v>
      </c>
      <c r="G88" s="8">
        <v>87</v>
      </c>
      <c r="H88" s="8">
        <v>71</v>
      </c>
      <c r="I88" s="9">
        <v>39546</v>
      </c>
      <c r="J88" s="9">
        <v>39576</v>
      </c>
      <c r="K88" s="10">
        <v>30</v>
      </c>
      <c r="L88" s="10">
        <v>16</v>
      </c>
      <c r="M88" s="10">
        <v>4</v>
      </c>
      <c r="N88" s="11" t="s">
        <v>475</v>
      </c>
      <c r="O88" s="11" t="s">
        <v>50</v>
      </c>
      <c r="P88" s="11" t="s">
        <v>641</v>
      </c>
      <c r="Q88" s="11" t="s">
        <v>475</v>
      </c>
      <c r="R88" s="11"/>
      <c r="S88" s="11"/>
    </row>
    <row r="89" spans="1:19" ht="108">
      <c r="A89" s="5" t="s">
        <v>265</v>
      </c>
      <c r="B89" s="20" t="s">
        <v>457</v>
      </c>
      <c r="C89" s="6" t="s">
        <v>458</v>
      </c>
      <c r="D89" s="7">
        <v>20000</v>
      </c>
      <c r="E89" s="7">
        <v>10351</v>
      </c>
      <c r="F89" s="81">
        <v>50</v>
      </c>
      <c r="G89" s="8">
        <v>63</v>
      </c>
      <c r="H89" s="8">
        <v>130</v>
      </c>
      <c r="I89" s="9">
        <v>39551</v>
      </c>
      <c r="J89" s="9">
        <v>39581</v>
      </c>
      <c r="K89" s="10">
        <v>30</v>
      </c>
      <c r="L89" s="10">
        <v>8</v>
      </c>
      <c r="M89" s="10">
        <v>5</v>
      </c>
      <c r="N89" s="11" t="s">
        <v>630</v>
      </c>
      <c r="O89" s="11" t="s">
        <v>630</v>
      </c>
      <c r="P89" s="11" t="s">
        <v>641</v>
      </c>
      <c r="Q89" s="11" t="s">
        <v>257</v>
      </c>
      <c r="R89" s="11"/>
      <c r="S89" s="11"/>
    </row>
    <row r="90" spans="1:19" ht="72">
      <c r="A90" s="5" t="s">
        <v>459</v>
      </c>
      <c r="B90" s="20" t="s">
        <v>460</v>
      </c>
      <c r="C90" s="6" t="s">
        <v>461</v>
      </c>
      <c r="D90" s="7">
        <v>675</v>
      </c>
      <c r="E90" s="7">
        <v>860</v>
      </c>
      <c r="F90" s="81">
        <v>127</v>
      </c>
      <c r="G90" s="8">
        <v>25</v>
      </c>
      <c r="H90" s="8">
        <v>6</v>
      </c>
      <c r="I90" s="9">
        <v>39553</v>
      </c>
      <c r="J90" s="9">
        <v>39567</v>
      </c>
      <c r="K90" s="10">
        <v>14</v>
      </c>
      <c r="L90" s="10">
        <v>11</v>
      </c>
      <c r="M90" s="10">
        <v>0</v>
      </c>
      <c r="N90" s="11" t="s">
        <v>396</v>
      </c>
      <c r="O90" s="11" t="s">
        <v>640</v>
      </c>
      <c r="P90" s="11" t="s">
        <v>447</v>
      </c>
      <c r="Q90" s="11" t="s">
        <v>397</v>
      </c>
      <c r="R90" s="11"/>
      <c r="S90" s="11"/>
    </row>
    <row r="91" spans="1:19" ht="72">
      <c r="A91" s="5" t="s">
        <v>393</v>
      </c>
      <c r="B91" s="20" t="s">
        <v>394</v>
      </c>
      <c r="C91" s="6" t="s">
        <v>613</v>
      </c>
      <c r="D91" s="7">
        <v>2800</v>
      </c>
      <c r="E91" s="7">
        <v>330</v>
      </c>
      <c r="F91" s="81">
        <v>12</v>
      </c>
      <c r="G91" s="8">
        <v>5</v>
      </c>
      <c r="H91" s="8">
        <v>32</v>
      </c>
      <c r="I91" s="9">
        <v>39553</v>
      </c>
      <c r="J91" s="9">
        <v>39583</v>
      </c>
      <c r="K91" s="10">
        <v>30</v>
      </c>
      <c r="L91" s="10">
        <v>1</v>
      </c>
      <c r="M91" s="10">
        <v>0</v>
      </c>
      <c r="N91" s="11" t="s">
        <v>434</v>
      </c>
      <c r="O91" s="11" t="s">
        <v>615</v>
      </c>
      <c r="P91" s="11" t="s">
        <v>641</v>
      </c>
      <c r="Q91" s="11" t="s">
        <v>616</v>
      </c>
      <c r="R91" s="11"/>
      <c r="S91" s="11"/>
    </row>
    <row r="92" spans="1:19" ht="72">
      <c r="A92" s="12" t="s">
        <v>395</v>
      </c>
      <c r="B92" s="20" t="s">
        <v>340</v>
      </c>
      <c r="C92" s="6" t="s">
        <v>639</v>
      </c>
      <c r="D92" s="7">
        <v>25000</v>
      </c>
      <c r="E92" s="7">
        <v>25823</v>
      </c>
      <c r="F92" s="81">
        <v>103</v>
      </c>
      <c r="G92" s="8">
        <v>257</v>
      </c>
      <c r="H92" s="8">
        <v>822</v>
      </c>
      <c r="I92" s="9">
        <v>39556</v>
      </c>
      <c r="J92" s="9">
        <v>39616</v>
      </c>
      <c r="K92" s="10">
        <v>60</v>
      </c>
      <c r="L92" s="10">
        <v>23</v>
      </c>
      <c r="M92" s="10">
        <v>13</v>
      </c>
      <c r="N92" s="11" t="s">
        <v>341</v>
      </c>
      <c r="O92" s="11" t="s">
        <v>50</v>
      </c>
      <c r="P92" s="11" t="s">
        <v>641</v>
      </c>
      <c r="Q92" s="11" t="s">
        <v>475</v>
      </c>
      <c r="R92" s="11"/>
      <c r="S92" s="11"/>
    </row>
    <row r="93" spans="1:19" ht="72">
      <c r="A93" s="5" t="s">
        <v>342</v>
      </c>
      <c r="B93" s="20" t="s">
        <v>279</v>
      </c>
      <c r="C93" s="6" t="s">
        <v>480</v>
      </c>
      <c r="D93" s="7">
        <v>350</v>
      </c>
      <c r="E93" s="7">
        <v>631</v>
      </c>
      <c r="F93" s="81">
        <v>180</v>
      </c>
      <c r="G93" s="8">
        <v>20</v>
      </c>
      <c r="H93" s="8">
        <v>6</v>
      </c>
      <c r="I93" s="9">
        <v>39560</v>
      </c>
      <c r="J93" s="9">
        <v>39582</v>
      </c>
      <c r="K93" s="10">
        <v>23</v>
      </c>
      <c r="L93" s="10">
        <v>2</v>
      </c>
      <c r="M93" s="10">
        <v>0</v>
      </c>
      <c r="N93" s="11" t="s">
        <v>465</v>
      </c>
      <c r="O93" s="11" t="s">
        <v>640</v>
      </c>
      <c r="P93" s="11" t="s">
        <v>447</v>
      </c>
      <c r="Q93" s="11" t="s">
        <v>607</v>
      </c>
      <c r="R93" s="11"/>
      <c r="S93" s="11"/>
    </row>
    <row r="94" spans="1:19" ht="60">
      <c r="A94" s="5" t="s">
        <v>345</v>
      </c>
      <c r="B94" s="20" t="s">
        <v>347</v>
      </c>
      <c r="C94" s="6" t="s">
        <v>639</v>
      </c>
      <c r="D94" s="7">
        <v>1500</v>
      </c>
      <c r="E94" s="7">
        <v>2198</v>
      </c>
      <c r="F94" s="81">
        <v>146</v>
      </c>
      <c r="G94" s="8">
        <v>63</v>
      </c>
      <c r="H94" s="8">
        <v>336</v>
      </c>
      <c r="I94" s="9">
        <v>39561</v>
      </c>
      <c r="J94" s="9">
        <v>39603</v>
      </c>
      <c r="K94" s="10">
        <v>43</v>
      </c>
      <c r="L94" s="10">
        <v>7</v>
      </c>
      <c r="M94" s="10">
        <v>3</v>
      </c>
      <c r="N94" s="11" t="s">
        <v>587</v>
      </c>
      <c r="O94" s="11" t="s">
        <v>587</v>
      </c>
      <c r="P94" s="11" t="s">
        <v>641</v>
      </c>
      <c r="Q94" s="11" t="s">
        <v>627</v>
      </c>
      <c r="R94" s="11"/>
      <c r="S94" s="11"/>
    </row>
    <row r="95" spans="1:19" ht="72">
      <c r="A95" s="5" t="s">
        <v>348</v>
      </c>
      <c r="B95" s="20" t="s">
        <v>223</v>
      </c>
      <c r="C95" s="6" t="s">
        <v>505</v>
      </c>
      <c r="D95" s="7">
        <v>750</v>
      </c>
      <c r="E95" s="7">
        <v>1060</v>
      </c>
      <c r="F95" s="81">
        <v>141</v>
      </c>
      <c r="G95" s="8">
        <v>24</v>
      </c>
      <c r="H95" s="8">
        <v>102</v>
      </c>
      <c r="I95" s="9">
        <v>39562</v>
      </c>
      <c r="J95" s="9">
        <v>39592</v>
      </c>
      <c r="K95" s="10">
        <v>30</v>
      </c>
      <c r="L95" s="10">
        <v>4</v>
      </c>
      <c r="M95" s="10">
        <v>1</v>
      </c>
      <c r="N95" s="11" t="s">
        <v>465</v>
      </c>
      <c r="O95" s="11" t="s">
        <v>640</v>
      </c>
      <c r="P95" s="11" t="s">
        <v>224</v>
      </c>
      <c r="Q95" s="11" t="s">
        <v>225</v>
      </c>
      <c r="R95" s="11"/>
      <c r="S95" s="11"/>
    </row>
    <row r="96" spans="1:19" ht="60">
      <c r="A96" s="5" t="s">
        <v>226</v>
      </c>
      <c r="B96" s="20" t="s">
        <v>227</v>
      </c>
      <c r="C96" s="6" t="s">
        <v>613</v>
      </c>
      <c r="D96" s="7">
        <v>3000</v>
      </c>
      <c r="E96" s="7">
        <v>3102</v>
      </c>
      <c r="F96" s="81">
        <v>103</v>
      </c>
      <c r="G96" s="8">
        <v>67</v>
      </c>
      <c r="H96" s="8">
        <v>144</v>
      </c>
      <c r="I96" s="9">
        <v>39567</v>
      </c>
      <c r="J96" s="9">
        <v>39597</v>
      </c>
      <c r="K96" s="10">
        <v>30</v>
      </c>
      <c r="L96" s="10">
        <v>3</v>
      </c>
      <c r="M96" s="10">
        <v>4</v>
      </c>
      <c r="N96" s="11" t="s">
        <v>434</v>
      </c>
      <c r="O96" s="11" t="s">
        <v>615</v>
      </c>
      <c r="P96" s="11" t="s">
        <v>641</v>
      </c>
      <c r="Q96" s="11" t="s">
        <v>616</v>
      </c>
      <c r="R96" s="11"/>
      <c r="S96" s="11"/>
    </row>
    <row r="97" spans="1:19" ht="60">
      <c r="A97" s="5" t="s">
        <v>228</v>
      </c>
      <c r="B97" s="20" t="s">
        <v>229</v>
      </c>
      <c r="C97" s="6" t="s">
        <v>613</v>
      </c>
      <c r="D97" s="7">
        <v>3000</v>
      </c>
      <c r="E97" s="7">
        <v>3389</v>
      </c>
      <c r="F97" s="81">
        <v>112</v>
      </c>
      <c r="G97" s="8">
        <v>73</v>
      </c>
      <c r="H97" s="8">
        <v>45</v>
      </c>
      <c r="I97" s="9">
        <v>39569</v>
      </c>
      <c r="J97" s="9">
        <v>39590</v>
      </c>
      <c r="K97" s="10">
        <v>21</v>
      </c>
      <c r="L97" s="10">
        <v>4</v>
      </c>
      <c r="M97" s="10">
        <v>4</v>
      </c>
      <c r="N97" s="11" t="s">
        <v>587</v>
      </c>
      <c r="O97" s="11" t="s">
        <v>587</v>
      </c>
      <c r="P97" s="11" t="s">
        <v>641</v>
      </c>
      <c r="Q97" s="11" t="s">
        <v>230</v>
      </c>
      <c r="R97" s="11"/>
      <c r="S97" s="11"/>
    </row>
    <row r="98" spans="1:19" ht="24">
      <c r="A98" s="5" t="s">
        <v>231</v>
      </c>
      <c r="B98" s="20" t="s">
        <v>232</v>
      </c>
      <c r="C98" s="6" t="s">
        <v>639</v>
      </c>
      <c r="D98" s="7">
        <v>2800</v>
      </c>
      <c r="E98" s="7">
        <v>2887</v>
      </c>
      <c r="F98" s="81">
        <v>103</v>
      </c>
      <c r="G98" s="8">
        <v>49</v>
      </c>
      <c r="H98" s="8">
        <v>87</v>
      </c>
      <c r="I98" s="9">
        <v>39570</v>
      </c>
      <c r="J98" s="9">
        <v>39600</v>
      </c>
      <c r="K98" s="10">
        <v>30</v>
      </c>
      <c r="L98" s="10">
        <v>2</v>
      </c>
      <c r="M98" s="10">
        <v>2</v>
      </c>
      <c r="N98" s="11" t="s">
        <v>627</v>
      </c>
      <c r="O98" s="11" t="s">
        <v>587</v>
      </c>
      <c r="P98" s="11" t="s">
        <v>641</v>
      </c>
      <c r="Q98" s="11" t="s">
        <v>627</v>
      </c>
      <c r="R98" s="11"/>
      <c r="S98" s="11"/>
    </row>
    <row r="99" spans="1:19" ht="72">
      <c r="A99" s="5" t="s">
        <v>233</v>
      </c>
      <c r="B99" s="20" t="s">
        <v>234</v>
      </c>
      <c r="C99" s="6" t="s">
        <v>235</v>
      </c>
      <c r="D99" s="7">
        <v>25000</v>
      </c>
      <c r="E99" s="7">
        <v>10025</v>
      </c>
      <c r="F99" s="81">
        <v>40</v>
      </c>
      <c r="G99" s="8">
        <v>107</v>
      </c>
      <c r="H99" s="8">
        <v>467</v>
      </c>
      <c r="I99" s="9">
        <v>39576</v>
      </c>
      <c r="J99" s="9">
        <v>39606</v>
      </c>
      <c r="K99" s="10">
        <v>30</v>
      </c>
      <c r="L99" s="10">
        <v>18</v>
      </c>
      <c r="M99" s="10">
        <v>14</v>
      </c>
      <c r="N99" s="11" t="s">
        <v>630</v>
      </c>
      <c r="O99" s="11" t="s">
        <v>630</v>
      </c>
      <c r="P99" s="11" t="s">
        <v>641</v>
      </c>
      <c r="Q99" s="11"/>
      <c r="R99" s="11"/>
      <c r="S99" s="11"/>
    </row>
    <row r="100" spans="1:19" ht="36">
      <c r="A100" s="5" t="s">
        <v>236</v>
      </c>
      <c r="B100" s="20" t="s">
        <v>237</v>
      </c>
      <c r="C100" s="6" t="s">
        <v>613</v>
      </c>
      <c r="D100" s="7">
        <v>3000</v>
      </c>
      <c r="E100" s="7">
        <v>3038</v>
      </c>
      <c r="F100" s="81">
        <v>101</v>
      </c>
      <c r="G100" s="8">
        <v>30</v>
      </c>
      <c r="H100" s="8">
        <v>107</v>
      </c>
      <c r="I100" s="9">
        <v>39577</v>
      </c>
      <c r="J100" s="9">
        <v>39597</v>
      </c>
      <c r="K100" s="10">
        <v>20</v>
      </c>
      <c r="L100" s="10">
        <v>1</v>
      </c>
      <c r="M100" s="10">
        <v>0</v>
      </c>
      <c r="N100" s="11" t="s">
        <v>531</v>
      </c>
      <c r="O100" s="11" t="s">
        <v>615</v>
      </c>
      <c r="P100" s="11" t="s">
        <v>641</v>
      </c>
      <c r="Q100" s="11" t="s">
        <v>616</v>
      </c>
      <c r="R100" s="11"/>
      <c r="S100" s="11"/>
    </row>
    <row r="101" spans="1:19" ht="72">
      <c r="A101" s="5" t="s">
        <v>298</v>
      </c>
      <c r="B101" s="20" t="s">
        <v>420</v>
      </c>
      <c r="C101" s="6" t="s">
        <v>421</v>
      </c>
      <c r="D101" s="7">
        <v>4000</v>
      </c>
      <c r="E101" s="7">
        <v>461</v>
      </c>
      <c r="F101" s="81">
        <v>10</v>
      </c>
      <c r="G101" s="8">
        <v>11</v>
      </c>
      <c r="H101" s="8">
        <v>72</v>
      </c>
      <c r="I101" s="9">
        <v>39582</v>
      </c>
      <c r="J101" s="9">
        <v>39612</v>
      </c>
      <c r="K101" s="10">
        <v>30</v>
      </c>
      <c r="L101" s="10">
        <v>0</v>
      </c>
      <c r="M101" s="10">
        <v>2</v>
      </c>
      <c r="N101" s="11" t="s">
        <v>502</v>
      </c>
      <c r="O101" s="11" t="s">
        <v>577</v>
      </c>
      <c r="P101" s="11" t="s">
        <v>641</v>
      </c>
      <c r="Q101" s="11" t="s">
        <v>502</v>
      </c>
      <c r="R101" s="11"/>
      <c r="S101" s="11"/>
    </row>
    <row r="102" spans="1:19" ht="48">
      <c r="A102" s="5" t="s">
        <v>422</v>
      </c>
      <c r="B102" s="20" t="s">
        <v>423</v>
      </c>
      <c r="C102" s="6" t="s">
        <v>639</v>
      </c>
      <c r="D102" s="7">
        <v>1000</v>
      </c>
      <c r="E102" s="7">
        <v>1005</v>
      </c>
      <c r="F102" s="81">
        <v>100</v>
      </c>
      <c r="G102" s="8">
        <v>30</v>
      </c>
      <c r="H102" s="8">
        <v>165</v>
      </c>
      <c r="I102" s="9">
        <v>39584</v>
      </c>
      <c r="J102" s="9">
        <v>39602</v>
      </c>
      <c r="K102" s="10">
        <v>18</v>
      </c>
      <c r="L102" s="10">
        <v>4</v>
      </c>
      <c r="M102" s="10">
        <v>1</v>
      </c>
      <c r="N102" s="11" t="s">
        <v>424</v>
      </c>
      <c r="O102" s="11" t="s">
        <v>50</v>
      </c>
      <c r="P102" s="11" t="s">
        <v>641</v>
      </c>
      <c r="Q102" s="11" t="s">
        <v>424</v>
      </c>
      <c r="R102" s="11"/>
      <c r="S102" s="11"/>
    </row>
    <row r="103" spans="1:19" ht="84">
      <c r="A103" s="5" t="s">
        <v>425</v>
      </c>
      <c r="B103" s="20" t="s">
        <v>363</v>
      </c>
      <c r="C103" s="6" t="s">
        <v>613</v>
      </c>
      <c r="D103" s="7">
        <v>1000</v>
      </c>
      <c r="E103" s="7">
        <v>1881</v>
      </c>
      <c r="F103" s="81">
        <v>118</v>
      </c>
      <c r="G103" s="8">
        <v>17</v>
      </c>
      <c r="H103" s="8">
        <v>66</v>
      </c>
      <c r="I103" s="9">
        <v>39591</v>
      </c>
      <c r="J103" s="9">
        <v>39631</v>
      </c>
      <c r="K103" s="10">
        <v>39</v>
      </c>
      <c r="L103" s="10">
        <v>2</v>
      </c>
      <c r="M103" s="10">
        <v>1</v>
      </c>
      <c r="N103" s="11" t="s">
        <v>615</v>
      </c>
      <c r="O103" s="11" t="s">
        <v>615</v>
      </c>
      <c r="P103" s="11" t="s">
        <v>641</v>
      </c>
      <c r="Q103" s="11" t="s">
        <v>616</v>
      </c>
      <c r="R103" s="11"/>
      <c r="S103" s="11"/>
    </row>
    <row r="104" spans="1:19" ht="72">
      <c r="A104" s="5" t="s">
        <v>364</v>
      </c>
      <c r="B104" s="20" t="s">
        <v>365</v>
      </c>
      <c r="C104" s="6" t="s">
        <v>480</v>
      </c>
      <c r="D104" s="7">
        <v>350</v>
      </c>
      <c r="E104" s="7">
        <v>835</v>
      </c>
      <c r="F104" s="81">
        <v>238</v>
      </c>
      <c r="G104" s="8">
        <v>23</v>
      </c>
      <c r="H104" s="8">
        <v>93</v>
      </c>
      <c r="I104" s="9">
        <v>39591</v>
      </c>
      <c r="J104" s="9">
        <v>39613</v>
      </c>
      <c r="K104" s="10">
        <v>22</v>
      </c>
      <c r="L104" s="10">
        <v>6</v>
      </c>
      <c r="M104" s="10">
        <v>0</v>
      </c>
      <c r="N104" s="11" t="s">
        <v>465</v>
      </c>
      <c r="O104" s="11" t="s">
        <v>640</v>
      </c>
      <c r="P104" s="11" t="s">
        <v>447</v>
      </c>
      <c r="Q104" s="11" t="s">
        <v>607</v>
      </c>
      <c r="R104" s="11"/>
      <c r="S104" s="11"/>
    </row>
    <row r="105" spans="1:19" ht="72">
      <c r="A105" s="5" t="s">
        <v>366</v>
      </c>
      <c r="B105" s="20" t="s">
        <v>307</v>
      </c>
      <c r="C105" s="6" t="s">
        <v>639</v>
      </c>
      <c r="D105" s="7">
        <v>2600</v>
      </c>
      <c r="E105" s="7">
        <v>6748</v>
      </c>
      <c r="F105" s="81">
        <v>259</v>
      </c>
      <c r="G105" s="8">
        <v>115</v>
      </c>
      <c r="H105" s="8">
        <v>564</v>
      </c>
      <c r="I105" s="9">
        <v>39592</v>
      </c>
      <c r="J105" s="9">
        <v>39612</v>
      </c>
      <c r="K105" s="10">
        <v>20</v>
      </c>
      <c r="L105" s="10">
        <v>7</v>
      </c>
      <c r="M105" s="10">
        <v>24</v>
      </c>
      <c r="N105" s="11" t="s">
        <v>308</v>
      </c>
      <c r="O105" s="11" t="s">
        <v>50</v>
      </c>
      <c r="P105" s="11" t="s">
        <v>641</v>
      </c>
      <c r="Q105" s="11" t="s">
        <v>309</v>
      </c>
      <c r="R105" s="11"/>
      <c r="S105" s="11"/>
    </row>
    <row r="106" spans="1:19" ht="72">
      <c r="A106" s="5" t="s">
        <v>310</v>
      </c>
      <c r="B106" s="20" t="s">
        <v>253</v>
      </c>
      <c r="C106" s="6" t="s">
        <v>505</v>
      </c>
      <c r="D106" s="7">
        <v>15000</v>
      </c>
      <c r="E106" s="7">
        <v>15225</v>
      </c>
      <c r="F106" s="81">
        <v>101</v>
      </c>
      <c r="G106" s="8">
        <v>111</v>
      </c>
      <c r="H106" s="8">
        <v>269</v>
      </c>
      <c r="I106" s="9">
        <v>39594</v>
      </c>
      <c r="J106" s="9">
        <v>39643</v>
      </c>
      <c r="K106" s="10">
        <v>19</v>
      </c>
      <c r="L106" s="10">
        <v>7</v>
      </c>
      <c r="M106" s="10">
        <v>12</v>
      </c>
      <c r="N106" s="11" t="s">
        <v>465</v>
      </c>
      <c r="O106" s="11" t="s">
        <v>640</v>
      </c>
      <c r="P106" s="11" t="s">
        <v>314</v>
      </c>
      <c r="Q106" s="11" t="s">
        <v>315</v>
      </c>
      <c r="R106" s="11"/>
      <c r="S106" s="11"/>
    </row>
    <row r="107" spans="1:19" ht="84">
      <c r="A107" s="5" t="s">
        <v>316</v>
      </c>
      <c r="B107" s="20" t="s">
        <v>318</v>
      </c>
      <c r="C107" s="6" t="s">
        <v>321</v>
      </c>
      <c r="D107" s="7">
        <v>2000</v>
      </c>
      <c r="E107" s="7">
        <v>2187</v>
      </c>
      <c r="F107" s="81">
        <v>109</v>
      </c>
      <c r="G107" s="8">
        <v>45</v>
      </c>
      <c r="H107" s="8">
        <v>168</v>
      </c>
      <c r="I107" s="9">
        <v>39594</v>
      </c>
      <c r="J107" s="9">
        <v>39654</v>
      </c>
      <c r="K107" s="10">
        <v>30</v>
      </c>
      <c r="L107" s="10">
        <v>1</v>
      </c>
      <c r="M107" s="10">
        <v>0</v>
      </c>
      <c r="N107" s="11" t="s">
        <v>502</v>
      </c>
      <c r="O107" s="11" t="s">
        <v>577</v>
      </c>
      <c r="P107" s="11" t="s">
        <v>641</v>
      </c>
      <c r="Q107" s="11" t="s">
        <v>502</v>
      </c>
      <c r="R107" s="11"/>
      <c r="S107" s="11"/>
    </row>
    <row r="108" spans="1:19" ht="60">
      <c r="A108" s="5" t="s">
        <v>319</v>
      </c>
      <c r="B108" s="20" t="s">
        <v>199</v>
      </c>
      <c r="C108" s="6" t="s">
        <v>359</v>
      </c>
      <c r="D108" s="7">
        <v>12500</v>
      </c>
      <c r="E108" s="7">
        <v>12819</v>
      </c>
      <c r="F108" s="81">
        <v>102</v>
      </c>
      <c r="G108" s="8">
        <v>155</v>
      </c>
      <c r="H108" s="8">
        <v>255</v>
      </c>
      <c r="I108" s="9">
        <v>39599</v>
      </c>
      <c r="J108" s="9">
        <v>39629</v>
      </c>
      <c r="K108" s="10">
        <v>30</v>
      </c>
      <c r="L108" s="10">
        <v>6</v>
      </c>
      <c r="M108" s="10">
        <v>7</v>
      </c>
      <c r="N108" s="11" t="s">
        <v>630</v>
      </c>
      <c r="O108" s="11" t="s">
        <v>630</v>
      </c>
      <c r="P108" s="11" t="s">
        <v>200</v>
      </c>
      <c r="Q108" s="11" t="s">
        <v>201</v>
      </c>
      <c r="R108" s="11"/>
      <c r="S108" s="11"/>
    </row>
    <row r="109" spans="1:19" ht="84">
      <c r="A109" s="5" t="s">
        <v>202</v>
      </c>
      <c r="B109" s="20" t="s">
        <v>203</v>
      </c>
      <c r="C109" s="6" t="s">
        <v>505</v>
      </c>
      <c r="D109" s="7">
        <v>5000</v>
      </c>
      <c r="E109" s="7">
        <v>0</v>
      </c>
      <c r="F109" s="81">
        <v>0</v>
      </c>
      <c r="G109" s="8">
        <v>0</v>
      </c>
      <c r="H109" s="8">
        <v>0</v>
      </c>
      <c r="I109" s="9">
        <v>39603</v>
      </c>
      <c r="J109" s="9">
        <v>39633</v>
      </c>
      <c r="K109" s="10">
        <v>30</v>
      </c>
      <c r="L109" s="10">
        <v>0</v>
      </c>
      <c r="M109" s="10">
        <v>0</v>
      </c>
      <c r="N109" s="11" t="s">
        <v>204</v>
      </c>
      <c r="O109" s="11" t="s">
        <v>640</v>
      </c>
      <c r="P109" s="11" t="s">
        <v>447</v>
      </c>
      <c r="Q109" s="11" t="s">
        <v>205</v>
      </c>
      <c r="R109" s="11"/>
      <c r="S109" s="11"/>
    </row>
    <row r="110" spans="1:19" ht="72">
      <c r="A110" s="5" t="s">
        <v>206</v>
      </c>
      <c r="B110" s="20" t="s">
        <v>207</v>
      </c>
      <c r="C110" s="6" t="s">
        <v>639</v>
      </c>
      <c r="D110" s="7">
        <v>12000</v>
      </c>
      <c r="E110" s="7">
        <v>12772</v>
      </c>
      <c r="F110" s="81">
        <v>106</v>
      </c>
      <c r="G110" s="8">
        <v>268</v>
      </c>
      <c r="H110" s="8">
        <v>236</v>
      </c>
      <c r="I110" s="9">
        <v>39605</v>
      </c>
      <c r="J110" s="9">
        <v>39635</v>
      </c>
      <c r="K110" s="10">
        <v>30</v>
      </c>
      <c r="L110" s="10">
        <v>3</v>
      </c>
      <c r="M110" s="10">
        <v>1</v>
      </c>
      <c r="N110" s="11" t="s">
        <v>204</v>
      </c>
      <c r="O110" s="11" t="s">
        <v>640</v>
      </c>
      <c r="P110" s="11" t="s">
        <v>447</v>
      </c>
      <c r="Q110" s="11" t="s">
        <v>405</v>
      </c>
      <c r="R110" s="11"/>
      <c r="S110" s="11"/>
    </row>
    <row r="111" spans="1:19" ht="84">
      <c r="A111" s="5" t="s">
        <v>208</v>
      </c>
      <c r="B111" s="20" t="s">
        <v>266</v>
      </c>
      <c r="C111" s="6" t="s">
        <v>461</v>
      </c>
      <c r="D111" s="7">
        <v>2200</v>
      </c>
      <c r="E111" s="7">
        <v>2320</v>
      </c>
      <c r="F111" s="81">
        <v>105</v>
      </c>
      <c r="G111" s="8">
        <v>41</v>
      </c>
      <c r="H111" s="8">
        <v>99</v>
      </c>
      <c r="I111" s="9">
        <v>39608</v>
      </c>
      <c r="J111" s="9">
        <v>39638</v>
      </c>
      <c r="K111" s="10">
        <v>30</v>
      </c>
      <c r="L111" s="10">
        <v>11</v>
      </c>
      <c r="M111" s="10">
        <v>6</v>
      </c>
      <c r="N111" s="11" t="s">
        <v>627</v>
      </c>
      <c r="O111" s="11" t="s">
        <v>587</v>
      </c>
      <c r="P111" s="11" t="s">
        <v>641</v>
      </c>
      <c r="Q111" s="11" t="s">
        <v>627</v>
      </c>
      <c r="R111" s="11"/>
      <c r="S111" s="11"/>
    </row>
    <row r="112" spans="1:19" ht="60">
      <c r="A112" s="5" t="s">
        <v>267</v>
      </c>
      <c r="B112" s="20" t="s">
        <v>331</v>
      </c>
      <c r="C112" s="6" t="s">
        <v>461</v>
      </c>
      <c r="D112" s="7">
        <v>10000</v>
      </c>
      <c r="E112" s="7">
        <v>13240</v>
      </c>
      <c r="F112" s="81">
        <v>132</v>
      </c>
      <c r="G112" s="8">
        <v>102</v>
      </c>
      <c r="H112" s="8">
        <v>104</v>
      </c>
      <c r="I112" s="9">
        <v>39612</v>
      </c>
      <c r="J112" s="9">
        <v>39642</v>
      </c>
      <c r="K112" s="10">
        <v>30</v>
      </c>
      <c r="L112" s="10">
        <v>5</v>
      </c>
      <c r="M112" s="10">
        <v>4</v>
      </c>
      <c r="N112" s="11" t="s">
        <v>630</v>
      </c>
      <c r="O112" s="11" t="s">
        <v>630</v>
      </c>
      <c r="P112" s="11" t="s">
        <v>332</v>
      </c>
      <c r="Q112" s="11" t="s">
        <v>632</v>
      </c>
      <c r="R112" s="11"/>
      <c r="S112" s="11"/>
    </row>
    <row r="113" spans="1:19" ht="60">
      <c r="A113" s="5" t="s">
        <v>389</v>
      </c>
      <c r="B113" s="20" t="s">
        <v>390</v>
      </c>
      <c r="C113" s="6" t="s">
        <v>639</v>
      </c>
      <c r="D113" s="7">
        <v>3000</v>
      </c>
      <c r="E113" s="7">
        <v>4321</v>
      </c>
      <c r="F113" s="81">
        <v>144</v>
      </c>
      <c r="G113" s="8">
        <v>283</v>
      </c>
      <c r="H113" s="8">
        <v>970</v>
      </c>
      <c r="I113" s="9">
        <v>39612</v>
      </c>
      <c r="J113" s="9">
        <v>39637</v>
      </c>
      <c r="K113" s="10">
        <v>25</v>
      </c>
      <c r="L113" s="10">
        <v>11</v>
      </c>
      <c r="M113" s="10">
        <v>7</v>
      </c>
      <c r="N113" s="11" t="s">
        <v>534</v>
      </c>
      <c r="O113" s="11" t="s">
        <v>615</v>
      </c>
      <c r="P113" s="11" t="s">
        <v>614</v>
      </c>
      <c r="Q113" s="11" t="s">
        <v>391</v>
      </c>
      <c r="R113" s="11"/>
      <c r="S113" s="11"/>
    </row>
    <row r="114" spans="1:19" ht="60">
      <c r="A114" s="5" t="s">
        <v>141</v>
      </c>
      <c r="B114" s="20" t="s">
        <v>142</v>
      </c>
      <c r="C114" s="6" t="s">
        <v>639</v>
      </c>
      <c r="D114" s="7">
        <v>2500</v>
      </c>
      <c r="E114" s="7">
        <v>2575</v>
      </c>
      <c r="F114" s="82">
        <v>103</v>
      </c>
      <c r="G114" s="8">
        <v>41</v>
      </c>
      <c r="H114" s="8"/>
      <c r="I114" s="9">
        <v>39639</v>
      </c>
      <c r="J114" s="9">
        <v>39652</v>
      </c>
      <c r="K114" s="10">
        <v>14</v>
      </c>
      <c r="L114" s="10"/>
      <c r="M114" s="10"/>
      <c r="N114" s="11" t="s">
        <v>308</v>
      </c>
      <c r="O114" s="11" t="s">
        <v>50</v>
      </c>
      <c r="P114" s="11"/>
      <c r="Q114" s="11"/>
      <c r="R114" s="11"/>
      <c r="S114" s="11"/>
    </row>
    <row r="115" spans="1:19" ht="84">
      <c r="A115" s="5" t="s">
        <v>392</v>
      </c>
      <c r="B115" s="20" t="s">
        <v>338</v>
      </c>
      <c r="C115" s="6" t="s">
        <v>639</v>
      </c>
      <c r="D115" s="7">
        <v>7500</v>
      </c>
      <c r="E115" s="7">
        <v>9115</v>
      </c>
      <c r="F115" s="81">
        <v>121</v>
      </c>
      <c r="G115" s="8">
        <v>172</v>
      </c>
      <c r="H115" s="8">
        <v>95</v>
      </c>
      <c r="I115" s="9">
        <v>39617</v>
      </c>
      <c r="J115" s="9">
        <v>39647</v>
      </c>
      <c r="K115" s="10">
        <v>30</v>
      </c>
      <c r="L115" s="10">
        <v>9</v>
      </c>
      <c r="M115" s="10">
        <v>0</v>
      </c>
      <c r="N115" s="11" t="s">
        <v>587</v>
      </c>
      <c r="O115" s="11" t="s">
        <v>587</v>
      </c>
      <c r="P115" s="11" t="s">
        <v>588</v>
      </c>
      <c r="Q115" s="11" t="s">
        <v>339</v>
      </c>
      <c r="R115" s="11"/>
      <c r="S115" s="11"/>
    </row>
    <row r="116" spans="1:19" ht="60">
      <c r="A116" s="5" t="s">
        <v>276</v>
      </c>
      <c r="B116" s="20" t="s">
        <v>277</v>
      </c>
      <c r="C116" s="6" t="s">
        <v>505</v>
      </c>
      <c r="D116" s="7">
        <v>5000</v>
      </c>
      <c r="E116" s="7">
        <v>7201</v>
      </c>
      <c r="F116" s="81">
        <v>144</v>
      </c>
      <c r="G116" s="8">
        <v>69</v>
      </c>
      <c r="H116" s="8">
        <v>167</v>
      </c>
      <c r="I116" s="9">
        <v>39618</v>
      </c>
      <c r="J116" s="9">
        <v>39640</v>
      </c>
      <c r="K116" s="10">
        <v>23</v>
      </c>
      <c r="L116" s="10">
        <v>1</v>
      </c>
      <c r="M116" s="10">
        <v>1</v>
      </c>
      <c r="N116" s="11" t="s">
        <v>308</v>
      </c>
      <c r="O116" s="11" t="s">
        <v>50</v>
      </c>
      <c r="P116" s="11" t="s">
        <v>641</v>
      </c>
      <c r="Q116" s="11" t="s">
        <v>309</v>
      </c>
      <c r="R116" s="11"/>
      <c r="S116" s="11"/>
    </row>
    <row r="117" spans="1:19" ht="72">
      <c r="A117" s="5" t="s">
        <v>278</v>
      </c>
      <c r="B117" s="20" t="s">
        <v>222</v>
      </c>
      <c r="C117" s="6" t="s">
        <v>639</v>
      </c>
      <c r="D117" s="7">
        <v>1000</v>
      </c>
      <c r="E117" s="7">
        <v>1390</v>
      </c>
      <c r="F117" s="81">
        <v>139</v>
      </c>
      <c r="G117" s="8">
        <v>24</v>
      </c>
      <c r="H117" s="8">
        <v>216</v>
      </c>
      <c r="I117" s="9">
        <v>39625</v>
      </c>
      <c r="J117" s="9">
        <v>39685</v>
      </c>
      <c r="K117" s="10">
        <v>60</v>
      </c>
      <c r="L117" s="10">
        <v>2</v>
      </c>
      <c r="M117" s="10">
        <v>0</v>
      </c>
      <c r="N117" s="11" t="s">
        <v>341</v>
      </c>
      <c r="O117" s="11" t="s">
        <v>50</v>
      </c>
      <c r="P117" s="11" t="s">
        <v>641</v>
      </c>
      <c r="Q117" s="11" t="s">
        <v>315</v>
      </c>
      <c r="R117" s="11"/>
      <c r="S117" s="11"/>
    </row>
    <row r="118" spans="1:19" ht="48">
      <c r="A118" s="5" t="s">
        <v>155</v>
      </c>
      <c r="B118" s="20" t="s">
        <v>280</v>
      </c>
      <c r="C118" s="6" t="s">
        <v>480</v>
      </c>
      <c r="D118" s="7">
        <v>350</v>
      </c>
      <c r="E118" s="7">
        <v>865</v>
      </c>
      <c r="F118" s="81">
        <v>247</v>
      </c>
      <c r="G118" s="8">
        <v>11</v>
      </c>
      <c r="H118" s="8">
        <v>11</v>
      </c>
      <c r="I118" s="9">
        <v>39626</v>
      </c>
      <c r="J118" s="9">
        <v>39656</v>
      </c>
      <c r="K118" s="10">
        <v>30</v>
      </c>
      <c r="L118" s="10">
        <v>2</v>
      </c>
      <c r="M118" s="10">
        <v>0</v>
      </c>
      <c r="N118" s="11" t="s">
        <v>465</v>
      </c>
      <c r="O118" s="11" t="s">
        <v>640</v>
      </c>
      <c r="P118" s="11" t="s">
        <v>447</v>
      </c>
      <c r="Q118" s="11" t="s">
        <v>607</v>
      </c>
      <c r="R118" s="11"/>
      <c r="S118" s="11"/>
    </row>
    <row r="119" spans="1:19" ht="60">
      <c r="A119" s="5" t="s">
        <v>281</v>
      </c>
      <c r="B119" s="20" t="s">
        <v>282</v>
      </c>
      <c r="C119" s="6" t="s">
        <v>295</v>
      </c>
      <c r="D119" s="7">
        <v>2000</v>
      </c>
      <c r="E119" s="7">
        <v>3145</v>
      </c>
      <c r="F119" s="81">
        <v>157</v>
      </c>
      <c r="G119" s="8">
        <v>49</v>
      </c>
      <c r="H119" s="8">
        <v>80</v>
      </c>
      <c r="I119" s="9">
        <v>39634</v>
      </c>
      <c r="J119" s="9">
        <v>39644</v>
      </c>
      <c r="K119" s="10">
        <v>10</v>
      </c>
      <c r="L119" s="10">
        <v>5</v>
      </c>
      <c r="M119" s="10">
        <v>4</v>
      </c>
      <c r="N119" s="11" t="s">
        <v>502</v>
      </c>
      <c r="O119" s="11" t="s">
        <v>577</v>
      </c>
      <c r="P119" s="11" t="s">
        <v>283</v>
      </c>
      <c r="Q119" s="11" t="s">
        <v>413</v>
      </c>
      <c r="R119" s="11"/>
      <c r="S119" s="11"/>
    </row>
    <row r="120" spans="1:19" ht="60">
      <c r="A120" s="5" t="s">
        <v>284</v>
      </c>
      <c r="B120" s="20" t="s">
        <v>159</v>
      </c>
      <c r="C120" s="6" t="s">
        <v>613</v>
      </c>
      <c r="D120" s="7">
        <v>1800</v>
      </c>
      <c r="E120" s="7">
        <v>1890</v>
      </c>
      <c r="F120" s="81">
        <v>105</v>
      </c>
      <c r="G120" s="8">
        <v>36</v>
      </c>
      <c r="H120" s="8">
        <v>92</v>
      </c>
      <c r="I120" s="9">
        <v>39640</v>
      </c>
      <c r="J120" s="9">
        <v>39674</v>
      </c>
      <c r="K120" s="10">
        <v>34</v>
      </c>
      <c r="L120" s="10">
        <v>3</v>
      </c>
      <c r="M120" s="10">
        <v>2</v>
      </c>
      <c r="N120" s="11" t="s">
        <v>615</v>
      </c>
      <c r="O120" s="11" t="s">
        <v>615</v>
      </c>
      <c r="P120" s="11" t="s">
        <v>641</v>
      </c>
      <c r="Q120" s="11" t="s">
        <v>616</v>
      </c>
      <c r="R120" s="11"/>
      <c r="S120" s="11"/>
    </row>
    <row r="121" spans="1:19" ht="60">
      <c r="A121" s="5" t="s">
        <v>160</v>
      </c>
      <c r="B121" s="20" t="s">
        <v>161</v>
      </c>
      <c r="C121" s="6" t="s">
        <v>639</v>
      </c>
      <c r="D121" s="7">
        <v>1500</v>
      </c>
      <c r="E121" s="7">
        <v>1501</v>
      </c>
      <c r="F121" s="81">
        <v>100</v>
      </c>
      <c r="G121" s="8">
        <v>27</v>
      </c>
      <c r="H121" s="8">
        <v>19</v>
      </c>
      <c r="I121" s="9">
        <v>39647</v>
      </c>
      <c r="J121" s="9">
        <v>39678</v>
      </c>
      <c r="K121" s="10">
        <v>30</v>
      </c>
      <c r="L121" s="10">
        <v>5</v>
      </c>
      <c r="M121" s="10">
        <v>1</v>
      </c>
      <c r="N121" s="11" t="s">
        <v>587</v>
      </c>
      <c r="O121" s="11" t="s">
        <v>587</v>
      </c>
      <c r="P121" s="11" t="s">
        <v>588</v>
      </c>
      <c r="Q121" s="11" t="s">
        <v>627</v>
      </c>
      <c r="R121" s="11"/>
      <c r="S121" s="11"/>
    </row>
    <row r="122" spans="1:19" ht="60">
      <c r="A122" s="5" t="s">
        <v>162</v>
      </c>
      <c r="B122" s="20" t="s">
        <v>163</v>
      </c>
      <c r="C122" s="6" t="s">
        <v>480</v>
      </c>
      <c r="D122" s="7">
        <v>300</v>
      </c>
      <c r="E122" s="7">
        <v>560</v>
      </c>
      <c r="F122" s="81">
        <v>186</v>
      </c>
      <c r="G122" s="8">
        <v>14</v>
      </c>
      <c r="H122" s="8">
        <v>8</v>
      </c>
      <c r="I122" s="9">
        <v>39648</v>
      </c>
      <c r="J122" s="9">
        <v>39342</v>
      </c>
      <c r="K122" s="10">
        <v>29</v>
      </c>
      <c r="L122" s="10">
        <v>2</v>
      </c>
      <c r="M122" s="10">
        <v>0</v>
      </c>
      <c r="N122" s="11" t="s">
        <v>465</v>
      </c>
      <c r="O122" s="11" t="s">
        <v>640</v>
      </c>
      <c r="P122" s="11" t="s">
        <v>447</v>
      </c>
      <c r="Q122" s="11" t="s">
        <v>607</v>
      </c>
      <c r="R122" s="11"/>
      <c r="S122" s="11"/>
    </row>
    <row r="123" spans="1:19" ht="72">
      <c r="A123" s="5" t="s">
        <v>164</v>
      </c>
      <c r="B123" s="20" t="s">
        <v>165</v>
      </c>
      <c r="C123" s="6" t="s">
        <v>639</v>
      </c>
      <c r="D123" s="7">
        <v>12000</v>
      </c>
      <c r="E123" s="7">
        <v>15281</v>
      </c>
      <c r="F123" s="81">
        <v>127</v>
      </c>
      <c r="G123" s="8">
        <v>69</v>
      </c>
      <c r="H123" s="8">
        <v>111</v>
      </c>
      <c r="I123" s="9">
        <v>39654</v>
      </c>
      <c r="J123" s="9">
        <v>39687</v>
      </c>
      <c r="K123" s="10">
        <v>31</v>
      </c>
      <c r="L123" s="10">
        <v>3</v>
      </c>
      <c r="M123" s="10">
        <v>7</v>
      </c>
      <c r="N123" s="11" t="s">
        <v>166</v>
      </c>
      <c r="O123" s="11" t="s">
        <v>27</v>
      </c>
      <c r="P123" s="11" t="s">
        <v>167</v>
      </c>
      <c r="Q123" s="11" t="s">
        <v>168</v>
      </c>
      <c r="R123" s="11"/>
      <c r="S123" s="11"/>
    </row>
    <row r="124" spans="1:19" ht="72">
      <c r="A124" s="5" t="s">
        <v>238</v>
      </c>
      <c r="B124" s="20" t="s">
        <v>239</v>
      </c>
      <c r="C124" s="6" t="s">
        <v>505</v>
      </c>
      <c r="D124" s="7">
        <v>5000</v>
      </c>
      <c r="E124" s="7">
        <v>5194</v>
      </c>
      <c r="F124" s="81">
        <v>103</v>
      </c>
      <c r="G124" s="8">
        <v>81</v>
      </c>
      <c r="H124" s="8">
        <v>65</v>
      </c>
      <c r="I124" s="9">
        <v>39661</v>
      </c>
      <c r="J124" s="9">
        <v>39692</v>
      </c>
      <c r="K124" s="10">
        <v>30</v>
      </c>
      <c r="L124" s="10">
        <v>4</v>
      </c>
      <c r="M124" s="10">
        <v>0</v>
      </c>
      <c r="N124" s="11" t="s">
        <v>538</v>
      </c>
      <c r="O124" s="11" t="s">
        <v>587</v>
      </c>
      <c r="P124" s="11" t="s">
        <v>641</v>
      </c>
      <c r="Q124" s="11" t="s">
        <v>339</v>
      </c>
      <c r="R124" s="11"/>
      <c r="S124" s="11"/>
    </row>
    <row r="125" spans="1:19" ht="60">
      <c r="A125" s="5" t="s">
        <v>299</v>
      </c>
      <c r="B125" s="20" t="s">
        <v>361</v>
      </c>
      <c r="C125" s="6" t="s">
        <v>639</v>
      </c>
      <c r="D125" s="7">
        <v>8000</v>
      </c>
      <c r="E125" s="7">
        <v>8140</v>
      </c>
      <c r="F125" s="81">
        <v>101</v>
      </c>
      <c r="G125" s="8">
        <v>83</v>
      </c>
      <c r="H125" s="8">
        <v>321</v>
      </c>
      <c r="I125" s="9">
        <v>39665</v>
      </c>
      <c r="J125" s="9">
        <v>39698</v>
      </c>
      <c r="K125" s="10">
        <v>31</v>
      </c>
      <c r="L125" s="10">
        <v>5</v>
      </c>
      <c r="M125" s="10">
        <v>4</v>
      </c>
      <c r="N125" s="11" t="s">
        <v>396</v>
      </c>
      <c r="O125" s="11" t="s">
        <v>640</v>
      </c>
      <c r="P125" s="11" t="s">
        <v>447</v>
      </c>
      <c r="Q125" s="11" t="s">
        <v>397</v>
      </c>
      <c r="R125" s="11"/>
      <c r="S125" s="11"/>
    </row>
    <row r="126" spans="1:19" ht="72">
      <c r="A126" s="5" t="s">
        <v>362</v>
      </c>
      <c r="B126" s="20" t="s">
        <v>247</v>
      </c>
      <c r="C126" s="6" t="s">
        <v>480</v>
      </c>
      <c r="D126" s="7">
        <v>7000</v>
      </c>
      <c r="E126" s="7">
        <v>8199</v>
      </c>
      <c r="F126" s="81">
        <v>117</v>
      </c>
      <c r="G126" s="8">
        <v>295</v>
      </c>
      <c r="H126" s="8">
        <v>139</v>
      </c>
      <c r="I126" s="9">
        <v>39665</v>
      </c>
      <c r="J126" s="9">
        <v>39698</v>
      </c>
      <c r="K126" s="10">
        <v>33</v>
      </c>
      <c r="L126" s="10">
        <v>22</v>
      </c>
      <c r="M126" s="10">
        <v>10</v>
      </c>
      <c r="N126" s="11" t="s">
        <v>204</v>
      </c>
      <c r="O126" s="11" t="s">
        <v>640</v>
      </c>
      <c r="P126" s="11" t="s">
        <v>447</v>
      </c>
      <c r="Q126" s="11" t="s">
        <v>248</v>
      </c>
      <c r="R126" s="11"/>
      <c r="S126" s="11"/>
    </row>
    <row r="127" spans="1:19" ht="84">
      <c r="A127" s="5" t="s">
        <v>249</v>
      </c>
      <c r="B127" s="20" t="s">
        <v>250</v>
      </c>
      <c r="C127" s="6" t="s">
        <v>585</v>
      </c>
      <c r="D127" s="7">
        <v>6000</v>
      </c>
      <c r="E127" s="7">
        <v>7290</v>
      </c>
      <c r="F127" s="81">
        <v>121</v>
      </c>
      <c r="G127" s="8">
        <v>93</v>
      </c>
      <c r="H127" s="8">
        <v>282</v>
      </c>
      <c r="I127" s="9">
        <v>39666</v>
      </c>
      <c r="J127" s="9">
        <v>39694</v>
      </c>
      <c r="K127" s="10">
        <v>28</v>
      </c>
      <c r="L127" s="10">
        <v>5</v>
      </c>
      <c r="M127" s="10">
        <v>1</v>
      </c>
      <c r="N127" s="11" t="s">
        <v>630</v>
      </c>
      <c r="O127" s="11" t="s">
        <v>630</v>
      </c>
      <c r="P127" s="11" t="s">
        <v>382</v>
      </c>
      <c r="Q127" s="11" t="s">
        <v>251</v>
      </c>
      <c r="R127" s="11"/>
      <c r="S127" s="11"/>
    </row>
    <row r="128" spans="1:19" ht="72">
      <c r="A128" s="5" t="s">
        <v>252</v>
      </c>
      <c r="B128" s="20" t="s">
        <v>189</v>
      </c>
      <c r="C128" s="6" t="s">
        <v>613</v>
      </c>
      <c r="D128" s="7">
        <v>3000</v>
      </c>
      <c r="E128" s="7">
        <v>1465</v>
      </c>
      <c r="F128" s="81">
        <v>49</v>
      </c>
      <c r="G128" s="8">
        <v>16</v>
      </c>
      <c r="H128" s="8">
        <v>43</v>
      </c>
      <c r="I128" s="9">
        <v>39668</v>
      </c>
      <c r="J128" s="9">
        <v>39720</v>
      </c>
      <c r="K128" s="10">
        <v>52</v>
      </c>
      <c r="L128" s="10">
        <v>0</v>
      </c>
      <c r="M128" s="10">
        <v>1</v>
      </c>
      <c r="N128" s="11" t="s">
        <v>615</v>
      </c>
      <c r="O128" s="11" t="s">
        <v>615</v>
      </c>
      <c r="P128" s="11" t="s">
        <v>641</v>
      </c>
      <c r="Q128" s="11" t="s">
        <v>616</v>
      </c>
      <c r="R128" s="11"/>
      <c r="S128" s="11"/>
    </row>
    <row r="129" spans="1:19" ht="60">
      <c r="A129" s="5" t="s">
        <v>190</v>
      </c>
      <c r="B129" s="20" t="s">
        <v>195</v>
      </c>
      <c r="C129" s="6" t="s">
        <v>196</v>
      </c>
      <c r="D129" s="7">
        <v>4000</v>
      </c>
      <c r="E129" s="7">
        <v>30</v>
      </c>
      <c r="F129" s="81">
        <v>1</v>
      </c>
      <c r="G129" s="8">
        <v>3</v>
      </c>
      <c r="H129" s="8">
        <v>44</v>
      </c>
      <c r="I129" s="9">
        <v>39668</v>
      </c>
      <c r="J129" s="9">
        <v>39698</v>
      </c>
      <c r="K129" s="10">
        <v>30</v>
      </c>
      <c r="L129" s="10">
        <v>1</v>
      </c>
      <c r="M129" s="10">
        <v>0</v>
      </c>
      <c r="N129" s="11" t="s">
        <v>308</v>
      </c>
      <c r="O129" s="11" t="s">
        <v>50</v>
      </c>
      <c r="P129" s="11" t="s">
        <v>641</v>
      </c>
      <c r="Q129" s="11" t="s">
        <v>197</v>
      </c>
      <c r="R129" s="11"/>
      <c r="S129" s="11"/>
    </row>
    <row r="130" spans="1:19" ht="72">
      <c r="A130" s="5" t="s">
        <v>198</v>
      </c>
      <c r="B130" s="20" t="s">
        <v>130</v>
      </c>
      <c r="C130" s="6" t="s">
        <v>498</v>
      </c>
      <c r="D130" s="7">
        <v>7000</v>
      </c>
      <c r="E130" s="7">
        <v>10550</v>
      </c>
      <c r="F130" s="81">
        <v>150</v>
      </c>
      <c r="G130" s="8">
        <v>159</v>
      </c>
      <c r="H130" s="8">
        <v>339</v>
      </c>
      <c r="I130" s="9">
        <v>39669</v>
      </c>
      <c r="J130" s="9">
        <v>39699</v>
      </c>
      <c r="K130" s="10">
        <v>30</v>
      </c>
      <c r="L130" s="10">
        <v>5</v>
      </c>
      <c r="M130" s="10">
        <v>7</v>
      </c>
      <c r="N130" s="11" t="s">
        <v>630</v>
      </c>
      <c r="O130" s="11" t="s">
        <v>630</v>
      </c>
      <c r="P130" s="11" t="s">
        <v>332</v>
      </c>
      <c r="Q130" s="11" t="s">
        <v>286</v>
      </c>
      <c r="R130" s="11"/>
      <c r="S130" s="11"/>
    </row>
    <row r="131" spans="1:19" ht="48">
      <c r="A131" s="5" t="s">
        <v>22</v>
      </c>
      <c r="B131" s="20" t="s">
        <v>140</v>
      </c>
      <c r="C131" s="6" t="s">
        <v>146</v>
      </c>
      <c r="D131" s="7">
        <v>5000</v>
      </c>
      <c r="E131" s="7">
        <v>10084</v>
      </c>
      <c r="F131" s="82">
        <v>202</v>
      </c>
      <c r="G131" s="8">
        <v>234</v>
      </c>
      <c r="H131" s="8"/>
      <c r="I131" s="9">
        <v>39700</v>
      </c>
      <c r="J131" s="9">
        <v>39721</v>
      </c>
      <c r="K131" s="10">
        <v>21</v>
      </c>
      <c r="L131" s="10"/>
      <c r="M131" s="10"/>
      <c r="N131" s="11" t="s">
        <v>582</v>
      </c>
      <c r="O131" s="11" t="s">
        <v>50</v>
      </c>
      <c r="P131" s="11"/>
      <c r="Q131" s="11"/>
      <c r="R131" s="11"/>
      <c r="S131" s="11"/>
    </row>
    <row r="132" spans="1:19" ht="60">
      <c r="A132" s="5" t="s">
        <v>131</v>
      </c>
      <c r="B132" s="20" t="s">
        <v>132</v>
      </c>
      <c r="C132" s="6" t="s">
        <v>451</v>
      </c>
      <c r="D132" s="7">
        <v>7000</v>
      </c>
      <c r="E132" s="7">
        <v>7394</v>
      </c>
      <c r="F132" s="81">
        <v>105</v>
      </c>
      <c r="G132" s="8">
        <v>106</v>
      </c>
      <c r="H132" s="8">
        <v>72</v>
      </c>
      <c r="I132" s="9">
        <v>39689</v>
      </c>
      <c r="J132" s="9">
        <v>39720</v>
      </c>
      <c r="K132" s="10">
        <v>30</v>
      </c>
      <c r="L132" s="10">
        <v>2</v>
      </c>
      <c r="M132" s="10">
        <v>1</v>
      </c>
      <c r="N132" s="11" t="s">
        <v>538</v>
      </c>
      <c r="O132" s="11" t="s">
        <v>587</v>
      </c>
      <c r="P132" s="11" t="s">
        <v>641</v>
      </c>
      <c r="Q132" s="11" t="s">
        <v>511</v>
      </c>
      <c r="R132" s="11"/>
      <c r="S132" s="11"/>
    </row>
    <row r="133" spans="1:19" ht="72">
      <c r="A133" s="5" t="s">
        <v>96</v>
      </c>
      <c r="B133" s="20" t="s">
        <v>21</v>
      </c>
      <c r="C133" s="6" t="s">
        <v>146</v>
      </c>
      <c r="D133" s="7">
        <v>10000</v>
      </c>
      <c r="E133" s="7">
        <v>15591</v>
      </c>
      <c r="F133" s="82">
        <v>156</v>
      </c>
      <c r="G133" s="8">
        <v>133</v>
      </c>
      <c r="H133" s="8"/>
      <c r="I133" s="9">
        <v>39702</v>
      </c>
      <c r="J133" s="9">
        <v>39732</v>
      </c>
      <c r="K133" s="10">
        <v>30</v>
      </c>
      <c r="L133" s="10"/>
      <c r="M133" s="10"/>
      <c r="N133" s="11" t="s">
        <v>581</v>
      </c>
      <c r="O133" s="11" t="s">
        <v>587</v>
      </c>
      <c r="P133" s="11"/>
      <c r="Q133" s="11"/>
      <c r="R133" s="11"/>
      <c r="S133" s="11"/>
    </row>
    <row r="134" spans="1:19" ht="72">
      <c r="A134" s="5" t="s">
        <v>149</v>
      </c>
      <c r="B134" s="20" t="s">
        <v>95</v>
      </c>
      <c r="C134" s="6" t="s">
        <v>146</v>
      </c>
      <c r="D134" s="7">
        <v>10000</v>
      </c>
      <c r="E134" s="7">
        <v>11051</v>
      </c>
      <c r="F134" s="82">
        <v>111</v>
      </c>
      <c r="G134" s="8">
        <v>266</v>
      </c>
      <c r="H134" s="8"/>
      <c r="I134" s="9">
        <v>39702</v>
      </c>
      <c r="J134" s="9">
        <v>39735</v>
      </c>
      <c r="K134" s="10">
        <f>18+15</f>
        <v>33</v>
      </c>
      <c r="L134" s="10"/>
      <c r="M134" s="10"/>
      <c r="N134" s="11" t="s">
        <v>580</v>
      </c>
      <c r="O134" s="11" t="s">
        <v>615</v>
      </c>
      <c r="P134" s="11"/>
      <c r="Q134" s="11"/>
      <c r="R134" s="11"/>
      <c r="S134" s="11"/>
    </row>
    <row r="135" spans="1:19" ht="84">
      <c r="A135" s="5" t="s">
        <v>133</v>
      </c>
      <c r="B135" s="20" t="s">
        <v>134</v>
      </c>
      <c r="C135" s="6" t="s">
        <v>613</v>
      </c>
      <c r="D135" s="7">
        <v>2000</v>
      </c>
      <c r="E135" s="7">
        <v>2656</v>
      </c>
      <c r="F135" s="81">
        <v>132</v>
      </c>
      <c r="G135" s="8">
        <v>50</v>
      </c>
      <c r="H135" s="8">
        <v>124</v>
      </c>
      <c r="I135" s="9">
        <v>39690</v>
      </c>
      <c r="J135" s="9">
        <v>39735</v>
      </c>
      <c r="K135" s="10">
        <v>46</v>
      </c>
      <c r="L135" s="10">
        <v>4</v>
      </c>
      <c r="M135" s="10">
        <v>0</v>
      </c>
      <c r="N135" s="11" t="s">
        <v>434</v>
      </c>
      <c r="O135" s="11" t="s">
        <v>615</v>
      </c>
      <c r="P135" s="11" t="s">
        <v>641</v>
      </c>
      <c r="Q135" s="11" t="s">
        <v>616</v>
      </c>
      <c r="R135" s="11"/>
      <c r="S135" s="11"/>
    </row>
    <row r="136" spans="1:19" ht="72">
      <c r="A136" s="5" t="s">
        <v>135</v>
      </c>
      <c r="B136" s="20" t="s">
        <v>136</v>
      </c>
      <c r="C136" s="6" t="s">
        <v>505</v>
      </c>
      <c r="D136" s="7">
        <v>3700</v>
      </c>
      <c r="E136" s="7">
        <v>3905</v>
      </c>
      <c r="F136" s="81">
        <v>105</v>
      </c>
      <c r="G136" s="8">
        <v>54</v>
      </c>
      <c r="H136" s="8">
        <v>88</v>
      </c>
      <c r="I136" s="9">
        <v>39693</v>
      </c>
      <c r="J136" s="9">
        <v>39733</v>
      </c>
      <c r="K136" s="10">
        <v>40</v>
      </c>
      <c r="L136" s="10">
        <v>2</v>
      </c>
      <c r="M136" s="10">
        <v>1</v>
      </c>
      <c r="N136" s="11" t="s">
        <v>465</v>
      </c>
      <c r="O136" s="11" t="s">
        <v>640</v>
      </c>
      <c r="P136" s="11" t="s">
        <v>447</v>
      </c>
      <c r="Q136" s="11" t="s">
        <v>315</v>
      </c>
      <c r="R136" s="11"/>
      <c r="S136" s="11"/>
    </row>
    <row r="137" spans="1:19" ht="72">
      <c r="A137" s="5" t="s">
        <v>137</v>
      </c>
      <c r="B137" s="20" t="s">
        <v>209</v>
      </c>
      <c r="C137" s="6" t="s">
        <v>359</v>
      </c>
      <c r="D137" s="7">
        <v>20000</v>
      </c>
      <c r="E137" s="7">
        <v>28326</v>
      </c>
      <c r="F137" s="81">
        <v>141</v>
      </c>
      <c r="G137" s="8">
        <v>205</v>
      </c>
      <c r="H137" s="8">
        <v>229</v>
      </c>
      <c r="I137" s="9">
        <v>39701</v>
      </c>
      <c r="J137" s="9">
        <v>39761</v>
      </c>
      <c r="K137" s="10">
        <v>30</v>
      </c>
      <c r="L137" s="10">
        <v>8</v>
      </c>
      <c r="M137" s="10">
        <v>0</v>
      </c>
      <c r="N137" s="11" t="s">
        <v>502</v>
      </c>
      <c r="O137" s="11" t="s">
        <v>50</v>
      </c>
      <c r="P137" s="11" t="s">
        <v>268</v>
      </c>
      <c r="Q137" s="11" t="s">
        <v>269</v>
      </c>
      <c r="R137" s="11"/>
      <c r="S137" s="11"/>
    </row>
    <row r="138" spans="1:19" ht="72">
      <c r="A138" s="5" t="s">
        <v>270</v>
      </c>
      <c r="B138" s="20" t="s">
        <v>333</v>
      </c>
      <c r="C138" s="6" t="s">
        <v>334</v>
      </c>
      <c r="D138" s="7">
        <v>8000</v>
      </c>
      <c r="E138" s="7">
        <v>740</v>
      </c>
      <c r="F138" s="81">
        <v>9</v>
      </c>
      <c r="G138" s="8">
        <v>8</v>
      </c>
      <c r="H138" s="8">
        <v>27</v>
      </c>
      <c r="I138" s="9">
        <v>39707</v>
      </c>
      <c r="J138" s="9">
        <v>39767</v>
      </c>
      <c r="K138" s="10">
        <v>30</v>
      </c>
      <c r="L138" s="10">
        <v>0</v>
      </c>
      <c r="M138" s="10">
        <v>0</v>
      </c>
      <c r="N138" s="11" t="s">
        <v>475</v>
      </c>
      <c r="O138" s="11" t="s">
        <v>50</v>
      </c>
      <c r="P138" s="11" t="s">
        <v>641</v>
      </c>
      <c r="Q138" s="11" t="s">
        <v>475</v>
      </c>
      <c r="R138" s="11"/>
      <c r="S138" s="11"/>
    </row>
    <row r="139" spans="1:19" ht="60">
      <c r="A139" s="5" t="s">
        <v>335</v>
      </c>
      <c r="B139" s="20" t="s">
        <v>336</v>
      </c>
      <c r="C139" s="6" t="s">
        <v>639</v>
      </c>
      <c r="D139" s="7">
        <v>5000</v>
      </c>
      <c r="E139" s="7">
        <v>42940</v>
      </c>
      <c r="F139" s="81">
        <v>780</v>
      </c>
      <c r="G139" s="8">
        <v>728</v>
      </c>
      <c r="H139" s="8">
        <v>1331</v>
      </c>
      <c r="I139" s="9">
        <v>39708</v>
      </c>
      <c r="J139" s="9">
        <v>39738</v>
      </c>
      <c r="K139" s="10">
        <v>30</v>
      </c>
      <c r="L139" s="10">
        <v>8</v>
      </c>
      <c r="M139" s="10">
        <v>37</v>
      </c>
      <c r="N139" s="11" t="s">
        <v>388</v>
      </c>
      <c r="O139" s="11" t="s">
        <v>27</v>
      </c>
      <c r="P139" s="11" t="s">
        <v>23</v>
      </c>
      <c r="Q139" s="11" t="s">
        <v>337</v>
      </c>
      <c r="R139" s="11"/>
      <c r="S139" s="11"/>
    </row>
    <row r="140" spans="1:19" ht="72">
      <c r="A140" s="5" t="s">
        <v>275</v>
      </c>
      <c r="B140" s="20" t="s">
        <v>217</v>
      </c>
      <c r="C140" s="6" t="s">
        <v>613</v>
      </c>
      <c r="D140" s="7">
        <v>3000</v>
      </c>
      <c r="E140" s="7">
        <v>3305</v>
      </c>
      <c r="F140" s="81">
        <v>110</v>
      </c>
      <c r="G140" s="8">
        <v>39</v>
      </c>
      <c r="H140" s="8">
        <v>84</v>
      </c>
      <c r="I140" s="9">
        <v>39708</v>
      </c>
      <c r="J140" s="9">
        <v>39738</v>
      </c>
      <c r="K140" s="10">
        <v>30</v>
      </c>
      <c r="L140" s="10">
        <v>2</v>
      </c>
      <c r="M140" s="10">
        <v>3</v>
      </c>
      <c r="N140" s="11" t="s">
        <v>614</v>
      </c>
      <c r="O140" s="11" t="s">
        <v>615</v>
      </c>
      <c r="P140" s="11" t="s">
        <v>641</v>
      </c>
      <c r="Q140" s="11" t="s">
        <v>616</v>
      </c>
      <c r="R140" s="11"/>
      <c r="S140" s="11"/>
    </row>
    <row r="141" spans="1:19" ht="72">
      <c r="A141" s="5" t="s">
        <v>218</v>
      </c>
      <c r="B141" s="20" t="s">
        <v>219</v>
      </c>
      <c r="C141" s="6" t="s">
        <v>639</v>
      </c>
      <c r="D141" s="7">
        <v>1200</v>
      </c>
      <c r="E141" s="7">
        <v>1285</v>
      </c>
      <c r="F141" s="81">
        <v>107</v>
      </c>
      <c r="G141" s="8">
        <v>29</v>
      </c>
      <c r="H141" s="8">
        <v>115</v>
      </c>
      <c r="I141" s="9">
        <v>39714</v>
      </c>
      <c r="J141" s="9">
        <v>39756</v>
      </c>
      <c r="K141" s="10">
        <v>43</v>
      </c>
      <c r="L141" s="10">
        <v>2</v>
      </c>
      <c r="M141" s="10">
        <v>0</v>
      </c>
      <c r="N141" s="11" t="s">
        <v>502</v>
      </c>
      <c r="O141" s="11" t="s">
        <v>577</v>
      </c>
      <c r="P141" s="11" t="s">
        <v>641</v>
      </c>
      <c r="Q141" s="11" t="s">
        <v>468</v>
      </c>
      <c r="R141" s="11"/>
      <c r="S141" s="11"/>
    </row>
    <row r="142" spans="1:19" ht="72">
      <c r="A142" s="5" t="s">
        <v>220</v>
      </c>
      <c r="B142" s="20" t="s">
        <v>93</v>
      </c>
      <c r="C142" s="6" t="s">
        <v>639</v>
      </c>
      <c r="D142" s="7">
        <v>3000</v>
      </c>
      <c r="E142" s="7">
        <v>3505</v>
      </c>
      <c r="F142" s="81">
        <v>116</v>
      </c>
      <c r="G142" s="8">
        <v>26</v>
      </c>
      <c r="H142" s="8">
        <v>82</v>
      </c>
      <c r="I142" s="9">
        <v>39715</v>
      </c>
      <c r="J142" s="9">
        <v>39730</v>
      </c>
      <c r="K142" s="10">
        <v>16</v>
      </c>
      <c r="L142" s="10">
        <v>1</v>
      </c>
      <c r="M142" s="10">
        <v>0</v>
      </c>
      <c r="N142" s="11" t="s">
        <v>475</v>
      </c>
      <c r="O142" s="11" t="s">
        <v>50</v>
      </c>
      <c r="P142" s="11" t="s">
        <v>641</v>
      </c>
      <c r="Q142" s="11" t="s">
        <v>475</v>
      </c>
      <c r="R142" s="11"/>
      <c r="S142" s="11"/>
    </row>
    <row r="143" spans="1:19" ht="60">
      <c r="A143" s="5" t="s">
        <v>94</v>
      </c>
      <c r="B143" s="20" t="s">
        <v>156</v>
      </c>
      <c r="C143" s="6" t="s">
        <v>321</v>
      </c>
      <c r="D143" s="7">
        <v>568</v>
      </c>
      <c r="E143" s="7">
        <v>810</v>
      </c>
      <c r="F143" s="81">
        <v>142</v>
      </c>
      <c r="G143" s="8">
        <v>8</v>
      </c>
      <c r="H143" s="8">
        <v>31</v>
      </c>
      <c r="I143" s="9">
        <v>39718</v>
      </c>
      <c r="J143" s="9">
        <v>39725</v>
      </c>
      <c r="K143" s="10">
        <v>7</v>
      </c>
      <c r="L143" s="10">
        <v>0</v>
      </c>
      <c r="M143" s="10">
        <v>1</v>
      </c>
      <c r="N143" s="11" t="s">
        <v>430</v>
      </c>
      <c r="O143" s="11" t="s">
        <v>27</v>
      </c>
      <c r="P143" s="11" t="s">
        <v>382</v>
      </c>
      <c r="Q143" s="11" t="s">
        <v>157</v>
      </c>
      <c r="R143" s="11"/>
      <c r="S143" s="11"/>
    </row>
    <row r="144" spans="1:19" ht="36">
      <c r="A144" s="5" t="s">
        <v>158</v>
      </c>
      <c r="B144" s="20" t="s">
        <v>153</v>
      </c>
      <c r="C144" s="6" t="s">
        <v>639</v>
      </c>
      <c r="D144" s="7">
        <v>5000</v>
      </c>
      <c r="E144" s="7">
        <v>5032</v>
      </c>
      <c r="F144" s="81">
        <v>100</v>
      </c>
      <c r="G144" s="8">
        <v>100</v>
      </c>
      <c r="H144" s="8">
        <v>952</v>
      </c>
      <c r="I144" s="9">
        <v>39727</v>
      </c>
      <c r="J144" s="9">
        <v>39748</v>
      </c>
      <c r="K144" s="10">
        <v>21</v>
      </c>
      <c r="L144" s="10">
        <v>7</v>
      </c>
      <c r="M144" s="10">
        <v>0</v>
      </c>
      <c r="N144" s="11" t="s">
        <v>516</v>
      </c>
      <c r="O144" s="11" t="s">
        <v>587</v>
      </c>
      <c r="P144" s="11" t="s">
        <v>588</v>
      </c>
      <c r="Q144" s="11" t="s">
        <v>627</v>
      </c>
      <c r="R144" s="11"/>
      <c r="S144" s="11"/>
    </row>
    <row r="145" spans="1:19" ht="60">
      <c r="A145" s="5" t="s">
        <v>154</v>
      </c>
      <c r="B145" s="20" t="s">
        <v>97</v>
      </c>
      <c r="C145" s="6" t="s">
        <v>639</v>
      </c>
      <c r="D145" s="7">
        <v>5000</v>
      </c>
      <c r="E145" s="7">
        <v>5036</v>
      </c>
      <c r="F145" s="81">
        <v>100</v>
      </c>
      <c r="G145" s="8">
        <v>74</v>
      </c>
      <c r="H145" s="8">
        <v>346</v>
      </c>
      <c r="I145" s="9">
        <v>39729</v>
      </c>
      <c r="J145" s="9">
        <v>39760</v>
      </c>
      <c r="K145" s="10">
        <v>30</v>
      </c>
      <c r="L145" s="10">
        <v>6</v>
      </c>
      <c r="M145" s="10">
        <v>5</v>
      </c>
      <c r="N145" s="11" t="s">
        <v>502</v>
      </c>
      <c r="O145" s="11" t="s">
        <v>577</v>
      </c>
      <c r="P145" s="11" t="s">
        <v>641</v>
      </c>
      <c r="Q145" s="11" t="s">
        <v>98</v>
      </c>
      <c r="R145" s="11"/>
      <c r="S145" s="11"/>
    </row>
    <row r="146" spans="1:19" ht="72">
      <c r="A146" s="5" t="s">
        <v>99</v>
      </c>
      <c r="B146" s="20" t="s">
        <v>100</v>
      </c>
      <c r="C146" s="6" t="s">
        <v>639</v>
      </c>
      <c r="D146" s="7">
        <v>100000</v>
      </c>
      <c r="E146" s="7">
        <v>1045</v>
      </c>
      <c r="F146" s="81">
        <v>1</v>
      </c>
      <c r="G146" s="8">
        <v>45</v>
      </c>
      <c r="H146" s="8">
        <v>153</v>
      </c>
      <c r="I146" s="9">
        <v>39730</v>
      </c>
      <c r="J146" s="9">
        <v>39783</v>
      </c>
      <c r="K146" s="10">
        <v>53</v>
      </c>
      <c r="L146" s="10">
        <v>2</v>
      </c>
      <c r="M146" s="10">
        <v>13</v>
      </c>
      <c r="N146" s="11" t="s">
        <v>472</v>
      </c>
      <c r="O146" s="11" t="s">
        <v>125</v>
      </c>
      <c r="P146" s="11" t="s">
        <v>641</v>
      </c>
      <c r="Q146" s="11" t="s">
        <v>101</v>
      </c>
      <c r="R146" s="11"/>
      <c r="S146" s="11"/>
    </row>
    <row r="147" spans="1:19" ht="72">
      <c r="A147" s="5" t="s">
        <v>102</v>
      </c>
      <c r="B147" s="20" t="s">
        <v>103</v>
      </c>
      <c r="C147" s="6" t="s">
        <v>104</v>
      </c>
      <c r="D147" s="7">
        <v>15000</v>
      </c>
      <c r="E147" s="7">
        <v>17313</v>
      </c>
      <c r="F147" s="81">
        <v>115</v>
      </c>
      <c r="G147" s="8">
        <v>108</v>
      </c>
      <c r="H147" s="8">
        <v>195</v>
      </c>
      <c r="I147" s="9">
        <v>39732</v>
      </c>
      <c r="J147" s="9">
        <v>39762</v>
      </c>
      <c r="K147" s="10">
        <v>30</v>
      </c>
      <c r="L147" s="10">
        <v>4</v>
      </c>
      <c r="M147" s="10">
        <v>0</v>
      </c>
      <c r="N147" s="11" t="s">
        <v>475</v>
      </c>
      <c r="O147" s="11" t="s">
        <v>50</v>
      </c>
      <c r="P147" s="11" t="s">
        <v>641</v>
      </c>
      <c r="Q147" s="11" t="s">
        <v>475</v>
      </c>
      <c r="R147" s="11"/>
      <c r="S147" s="11"/>
    </row>
    <row r="148" spans="1:19" ht="72">
      <c r="A148" s="5" t="s">
        <v>105</v>
      </c>
      <c r="B148" s="20" t="s">
        <v>169</v>
      </c>
      <c r="C148" s="6" t="s">
        <v>639</v>
      </c>
      <c r="D148" s="7">
        <v>8000</v>
      </c>
      <c r="E148" s="7">
        <v>10115</v>
      </c>
      <c r="F148" s="81">
        <v>126</v>
      </c>
      <c r="G148" s="8">
        <v>178</v>
      </c>
      <c r="H148" s="8">
        <v>513</v>
      </c>
      <c r="I148" s="9">
        <v>39732</v>
      </c>
      <c r="J148" s="9">
        <v>39762</v>
      </c>
      <c r="K148" s="10">
        <v>30</v>
      </c>
      <c r="L148" s="10">
        <v>8</v>
      </c>
      <c r="M148" s="10">
        <v>0</v>
      </c>
      <c r="N148" s="11" t="s">
        <v>587</v>
      </c>
      <c r="O148" s="11" t="s">
        <v>587</v>
      </c>
      <c r="P148" s="11" t="s">
        <v>641</v>
      </c>
      <c r="Q148" s="11" t="s">
        <v>627</v>
      </c>
      <c r="R148" s="11"/>
      <c r="S148" s="11"/>
    </row>
    <row r="149" spans="1:19" ht="72">
      <c r="A149" s="5" t="s">
        <v>170</v>
      </c>
      <c r="B149" s="20" t="s">
        <v>300</v>
      </c>
      <c r="C149" s="6" t="s">
        <v>505</v>
      </c>
      <c r="D149" s="7">
        <v>16000</v>
      </c>
      <c r="E149" s="7">
        <v>801</v>
      </c>
      <c r="F149" s="81">
        <v>5</v>
      </c>
      <c r="G149" s="8">
        <v>13</v>
      </c>
      <c r="H149" s="8">
        <v>127</v>
      </c>
      <c r="I149" s="9">
        <v>39737</v>
      </c>
      <c r="J149" s="9">
        <v>39767</v>
      </c>
      <c r="K149" s="10">
        <v>30</v>
      </c>
      <c r="L149" s="10">
        <v>0</v>
      </c>
      <c r="M149" s="10">
        <v>0</v>
      </c>
      <c r="N149" s="11" t="s">
        <v>301</v>
      </c>
      <c r="O149" s="11" t="s">
        <v>50</v>
      </c>
      <c r="P149" s="11" t="s">
        <v>641</v>
      </c>
      <c r="Q149" s="11" t="s">
        <v>309</v>
      </c>
      <c r="R149" s="11"/>
      <c r="S149" s="11"/>
    </row>
    <row r="150" spans="1:19" ht="84">
      <c r="A150" s="5" t="s">
        <v>302</v>
      </c>
      <c r="B150" s="20" t="s">
        <v>303</v>
      </c>
      <c r="C150" s="6" t="s">
        <v>505</v>
      </c>
      <c r="D150" s="7">
        <v>4000</v>
      </c>
      <c r="E150" s="7">
        <v>4205</v>
      </c>
      <c r="F150" s="81">
        <v>105</v>
      </c>
      <c r="G150" s="8">
        <v>69</v>
      </c>
      <c r="H150" s="8">
        <v>287</v>
      </c>
      <c r="I150" s="9">
        <v>39738</v>
      </c>
      <c r="J150" s="9">
        <v>39782</v>
      </c>
      <c r="K150" s="10">
        <v>44</v>
      </c>
      <c r="L150" s="10">
        <v>8</v>
      </c>
      <c r="M150" s="10">
        <v>0</v>
      </c>
      <c r="N150" s="11" t="s">
        <v>538</v>
      </c>
      <c r="O150" s="11" t="s">
        <v>640</v>
      </c>
      <c r="P150" s="11"/>
      <c r="Q150" s="11"/>
      <c r="R150" s="11"/>
      <c r="S150" s="11"/>
    </row>
    <row r="151" spans="1:19" ht="36">
      <c r="A151" s="5" t="s">
        <v>304</v>
      </c>
      <c r="B151" s="20" t="s">
        <v>305</v>
      </c>
      <c r="C151" s="6" t="s">
        <v>306</v>
      </c>
      <c r="D151" s="7">
        <v>9850</v>
      </c>
      <c r="E151" s="7">
        <v>190</v>
      </c>
      <c r="F151" s="81">
        <v>1</v>
      </c>
      <c r="G151" s="8">
        <v>6</v>
      </c>
      <c r="H151" s="8">
        <v>1</v>
      </c>
      <c r="I151" s="9">
        <v>39742</v>
      </c>
      <c r="J151" s="9">
        <v>39802</v>
      </c>
      <c r="K151" s="10">
        <v>60</v>
      </c>
      <c r="L151" s="10">
        <v>0</v>
      </c>
      <c r="M151" s="10">
        <v>1</v>
      </c>
      <c r="N151" s="11" t="s">
        <v>525</v>
      </c>
      <c r="O151" s="11" t="s">
        <v>587</v>
      </c>
      <c r="P151" s="11" t="s">
        <v>641</v>
      </c>
      <c r="Q151" s="11" t="s">
        <v>339</v>
      </c>
      <c r="R151" s="11"/>
      <c r="S151" s="11"/>
    </row>
    <row r="152" spans="1:19" ht="72">
      <c r="A152" s="5" t="s">
        <v>243</v>
      </c>
      <c r="B152" s="20" t="s">
        <v>244</v>
      </c>
      <c r="C152" s="6" t="s">
        <v>461</v>
      </c>
      <c r="D152" s="7">
        <v>5100</v>
      </c>
      <c r="E152" s="7">
        <v>6223</v>
      </c>
      <c r="F152" s="81">
        <v>122</v>
      </c>
      <c r="G152" s="8">
        <v>41</v>
      </c>
      <c r="H152" s="8">
        <v>46</v>
      </c>
      <c r="I152" s="9">
        <v>39744</v>
      </c>
      <c r="J152" s="9">
        <v>39776</v>
      </c>
      <c r="K152" s="10">
        <v>31</v>
      </c>
      <c r="L152" s="10">
        <v>2</v>
      </c>
      <c r="M152" s="10">
        <v>1</v>
      </c>
      <c r="N152" s="11" t="s">
        <v>326</v>
      </c>
      <c r="O152" s="11" t="s">
        <v>640</v>
      </c>
      <c r="P152" s="11" t="s">
        <v>245</v>
      </c>
      <c r="Q152" s="11" t="s">
        <v>642</v>
      </c>
      <c r="R152" s="11"/>
      <c r="S152" s="11"/>
    </row>
    <row r="153" spans="1:19" ht="60">
      <c r="A153" s="5" t="s">
        <v>246</v>
      </c>
      <c r="B153" s="20" t="s">
        <v>185</v>
      </c>
      <c r="C153" s="6" t="s">
        <v>186</v>
      </c>
      <c r="D153" s="7">
        <v>6000</v>
      </c>
      <c r="E153" s="7">
        <v>7565</v>
      </c>
      <c r="F153" s="81">
        <v>125</v>
      </c>
      <c r="G153" s="8">
        <v>78</v>
      </c>
      <c r="H153" s="8">
        <v>748</v>
      </c>
      <c r="I153" s="9">
        <v>39744</v>
      </c>
      <c r="J153" s="9">
        <v>39774</v>
      </c>
      <c r="K153" s="10">
        <v>30</v>
      </c>
      <c r="L153" s="10">
        <v>5</v>
      </c>
      <c r="M153" s="10">
        <v>2</v>
      </c>
      <c r="N153" s="11" t="s">
        <v>388</v>
      </c>
      <c r="O153" s="11" t="s">
        <v>27</v>
      </c>
      <c r="P153" s="11" t="s">
        <v>641</v>
      </c>
      <c r="Q153" s="11" t="s">
        <v>187</v>
      </c>
      <c r="R153" s="11"/>
      <c r="S153" s="11"/>
    </row>
    <row r="154" spans="1:19" ht="60">
      <c r="A154" s="5" t="s">
        <v>188</v>
      </c>
      <c r="B154" s="20" t="s">
        <v>33</v>
      </c>
      <c r="C154" s="6" t="s">
        <v>613</v>
      </c>
      <c r="D154" s="7">
        <v>1000</v>
      </c>
      <c r="E154" s="7">
        <v>145</v>
      </c>
      <c r="F154" s="81">
        <v>14</v>
      </c>
      <c r="G154" s="8">
        <v>4</v>
      </c>
      <c r="H154" s="8">
        <v>25</v>
      </c>
      <c r="I154" s="9">
        <v>39750</v>
      </c>
      <c r="J154" s="9">
        <v>39780</v>
      </c>
      <c r="K154" s="10">
        <v>30</v>
      </c>
      <c r="L154" s="10">
        <v>0</v>
      </c>
      <c r="M154" s="10">
        <v>0</v>
      </c>
      <c r="N154" s="11" t="s">
        <v>615</v>
      </c>
      <c r="O154" s="11" t="s">
        <v>615</v>
      </c>
      <c r="P154" s="11" t="s">
        <v>641</v>
      </c>
      <c r="Q154" s="11" t="s">
        <v>616</v>
      </c>
      <c r="R154" s="11"/>
      <c r="S154" s="11"/>
    </row>
    <row r="155" spans="1:19" ht="72">
      <c r="A155" s="5" t="s">
        <v>34</v>
      </c>
      <c r="B155" s="20" t="s">
        <v>193</v>
      </c>
      <c r="C155" s="6" t="s">
        <v>194</v>
      </c>
      <c r="D155" s="7">
        <v>7000</v>
      </c>
      <c r="E155" s="13">
        <v>7213</v>
      </c>
      <c r="F155" s="82">
        <v>103</v>
      </c>
      <c r="G155" s="11">
        <v>101</v>
      </c>
      <c r="H155" s="11">
        <v>726</v>
      </c>
      <c r="I155" s="9">
        <v>39752</v>
      </c>
      <c r="J155" s="9">
        <v>39782</v>
      </c>
      <c r="K155" s="11">
        <v>30</v>
      </c>
      <c r="L155" s="11">
        <v>5</v>
      </c>
      <c r="M155" s="10">
        <v>20</v>
      </c>
      <c r="N155" s="11" t="s">
        <v>128</v>
      </c>
      <c r="O155" s="11" t="s">
        <v>640</v>
      </c>
      <c r="P155" s="11"/>
      <c r="Q155" s="11"/>
      <c r="R155" s="11"/>
      <c r="S155" s="11"/>
    </row>
    <row r="156" spans="1:19" ht="72">
      <c r="A156" s="5" t="s">
        <v>129</v>
      </c>
      <c r="B156" s="20" t="s">
        <v>126</v>
      </c>
      <c r="C156" s="6" t="s">
        <v>613</v>
      </c>
      <c r="D156" s="7">
        <v>1200</v>
      </c>
      <c r="E156" s="7">
        <v>615</v>
      </c>
      <c r="F156" s="81">
        <v>51</v>
      </c>
      <c r="G156" s="8">
        <v>27</v>
      </c>
      <c r="H156" s="8">
        <v>142</v>
      </c>
      <c r="I156" s="9">
        <v>39754</v>
      </c>
      <c r="J156" s="9">
        <v>39775</v>
      </c>
      <c r="K156" s="10">
        <v>21</v>
      </c>
      <c r="L156" s="10">
        <v>2</v>
      </c>
      <c r="M156" s="10">
        <v>1</v>
      </c>
      <c r="N156" s="11" t="s">
        <v>434</v>
      </c>
      <c r="O156" s="11" t="s">
        <v>615</v>
      </c>
      <c r="P156" s="11" t="s">
        <v>641</v>
      </c>
      <c r="Q156" s="11" t="s">
        <v>616</v>
      </c>
      <c r="R156" s="11"/>
      <c r="S156" s="11"/>
    </row>
    <row r="157" spans="1:19" ht="48">
      <c r="A157" s="5" t="s">
        <v>127</v>
      </c>
      <c r="B157" s="20" t="s">
        <v>43</v>
      </c>
      <c r="C157" s="6" t="s">
        <v>505</v>
      </c>
      <c r="D157" s="7">
        <v>3500</v>
      </c>
      <c r="E157" s="7">
        <v>2080</v>
      </c>
      <c r="F157" s="81">
        <v>59</v>
      </c>
      <c r="G157" s="8">
        <v>42</v>
      </c>
      <c r="H157" s="8">
        <v>147</v>
      </c>
      <c r="I157" s="9">
        <v>39756</v>
      </c>
      <c r="J157" s="9">
        <v>39783</v>
      </c>
      <c r="K157" s="10">
        <v>27</v>
      </c>
      <c r="L157" s="10">
        <v>6</v>
      </c>
      <c r="M157" s="10">
        <v>0</v>
      </c>
      <c r="N157" s="11" t="s">
        <v>475</v>
      </c>
      <c r="O157" s="11" t="s">
        <v>50</v>
      </c>
      <c r="P157" s="11" t="s">
        <v>641</v>
      </c>
      <c r="Q157" s="11" t="s">
        <v>475</v>
      </c>
      <c r="R157" s="11"/>
      <c r="S157" s="11"/>
    </row>
    <row r="158" spans="1:19" ht="60">
      <c r="A158" s="5" t="s">
        <v>44</v>
      </c>
      <c r="B158" s="20" t="s">
        <v>45</v>
      </c>
      <c r="C158" s="6" t="s">
        <v>46</v>
      </c>
      <c r="D158" s="7">
        <v>4500</v>
      </c>
      <c r="E158" s="13">
        <v>3341</v>
      </c>
      <c r="F158" s="82">
        <v>74</v>
      </c>
      <c r="G158" s="11">
        <v>55</v>
      </c>
      <c r="H158" s="11">
        <v>321</v>
      </c>
      <c r="I158" s="9">
        <v>39756</v>
      </c>
      <c r="J158" s="9">
        <v>39786</v>
      </c>
      <c r="K158" s="11">
        <v>30</v>
      </c>
      <c r="L158" s="11">
        <v>10</v>
      </c>
      <c r="M158" s="10">
        <v>0</v>
      </c>
      <c r="N158" s="11" t="s">
        <v>204</v>
      </c>
      <c r="O158" s="11" t="s">
        <v>640</v>
      </c>
      <c r="P158" s="11"/>
      <c r="Q158" s="11"/>
      <c r="R158" s="11"/>
      <c r="S158" s="11"/>
    </row>
    <row r="159" spans="1:19" ht="72">
      <c r="A159" s="5" t="s">
        <v>47</v>
      </c>
      <c r="B159" s="20" t="s">
        <v>48</v>
      </c>
      <c r="C159" s="6" t="s">
        <v>49</v>
      </c>
      <c r="D159" s="7">
        <v>7500</v>
      </c>
      <c r="E159" s="13">
        <v>12160</v>
      </c>
      <c r="F159" s="82">
        <v>162</v>
      </c>
      <c r="G159" s="11">
        <v>93</v>
      </c>
      <c r="H159" s="11">
        <v>181</v>
      </c>
      <c r="I159" s="9">
        <v>39759</v>
      </c>
      <c r="J159" s="9">
        <v>39779</v>
      </c>
      <c r="K159" s="11">
        <v>20</v>
      </c>
      <c r="L159" s="11">
        <v>0</v>
      </c>
      <c r="M159" s="10">
        <v>2</v>
      </c>
      <c r="N159" s="11" t="s">
        <v>341</v>
      </c>
      <c r="O159" s="11" t="s">
        <v>50</v>
      </c>
      <c r="P159" s="11" t="s">
        <v>641</v>
      </c>
      <c r="Q159" s="11" t="s">
        <v>309</v>
      </c>
      <c r="R159" s="11"/>
      <c r="S159" s="11"/>
    </row>
    <row r="160" spans="1:19" ht="72">
      <c r="A160" s="5" t="s">
        <v>51</v>
      </c>
      <c r="B160" s="20" t="s">
        <v>138</v>
      </c>
      <c r="C160" s="6" t="s">
        <v>139</v>
      </c>
      <c r="D160" s="7">
        <v>29000</v>
      </c>
      <c r="E160" s="7">
        <v>4592</v>
      </c>
      <c r="F160" s="81">
        <v>16</v>
      </c>
      <c r="G160" s="8">
        <v>42</v>
      </c>
      <c r="H160" s="8">
        <v>276</v>
      </c>
      <c r="I160" s="9">
        <v>39763</v>
      </c>
      <c r="J160" s="9">
        <v>39794</v>
      </c>
      <c r="K160" s="10">
        <v>31</v>
      </c>
      <c r="L160" s="10">
        <v>0</v>
      </c>
      <c r="M160" s="10">
        <v>0</v>
      </c>
      <c r="N160" s="11" t="s">
        <v>533</v>
      </c>
      <c r="O160" s="11" t="s">
        <v>640</v>
      </c>
      <c r="P160" s="11" t="s">
        <v>447</v>
      </c>
      <c r="Q160" s="11" t="s">
        <v>533</v>
      </c>
      <c r="R160" s="11"/>
      <c r="S160" s="11"/>
    </row>
    <row r="161" spans="1:19" ht="60">
      <c r="A161" s="5" t="s">
        <v>210</v>
      </c>
      <c r="B161" s="20" t="s">
        <v>271</v>
      </c>
      <c r="C161" s="6" t="s">
        <v>639</v>
      </c>
      <c r="D161" s="7">
        <v>1000</v>
      </c>
      <c r="E161" s="7">
        <v>1170</v>
      </c>
      <c r="F161" s="81">
        <v>117</v>
      </c>
      <c r="G161" s="8">
        <v>52</v>
      </c>
      <c r="H161" s="8">
        <v>159</v>
      </c>
      <c r="I161" s="9">
        <v>39763</v>
      </c>
      <c r="J161" s="9">
        <v>39793</v>
      </c>
      <c r="K161" s="10">
        <v>30</v>
      </c>
      <c r="L161" s="10">
        <v>0</v>
      </c>
      <c r="M161" s="10">
        <v>2</v>
      </c>
      <c r="N161" s="11" t="s">
        <v>587</v>
      </c>
      <c r="O161" s="11" t="s">
        <v>587</v>
      </c>
      <c r="P161" s="11" t="s">
        <v>641</v>
      </c>
      <c r="Q161" s="11" t="s">
        <v>627</v>
      </c>
      <c r="R161" s="11"/>
      <c r="S161" s="11"/>
    </row>
    <row r="162" spans="1:19" ht="72">
      <c r="A162" s="5" t="s">
        <v>272</v>
      </c>
      <c r="B162" s="20" t="s">
        <v>273</v>
      </c>
      <c r="C162" s="6" t="s">
        <v>274</v>
      </c>
      <c r="D162" s="7">
        <v>3333</v>
      </c>
      <c r="E162" s="13">
        <v>501</v>
      </c>
      <c r="F162" s="82">
        <v>15</v>
      </c>
      <c r="G162" s="11">
        <v>9</v>
      </c>
      <c r="H162" s="11">
        <v>42</v>
      </c>
      <c r="I162" s="9">
        <v>39763</v>
      </c>
      <c r="J162" s="9">
        <v>39790</v>
      </c>
      <c r="K162" s="11">
        <v>27</v>
      </c>
      <c r="L162" s="11">
        <v>1</v>
      </c>
      <c r="M162" s="10">
        <v>0</v>
      </c>
      <c r="N162" s="11" t="s">
        <v>204</v>
      </c>
      <c r="O162" s="11" t="s">
        <v>640</v>
      </c>
      <c r="P162" s="11"/>
      <c r="Q162" s="11"/>
      <c r="R162" s="11"/>
      <c r="S162" s="11"/>
    </row>
    <row r="163" spans="1:19" ht="72">
      <c r="A163" s="5" t="s">
        <v>211</v>
      </c>
      <c r="B163" s="20" t="s">
        <v>212</v>
      </c>
      <c r="C163" s="6" t="s">
        <v>213</v>
      </c>
      <c r="D163" s="7">
        <v>5000</v>
      </c>
      <c r="E163" s="13">
        <v>25</v>
      </c>
      <c r="F163" s="82">
        <v>1</v>
      </c>
      <c r="G163" s="11">
        <v>1</v>
      </c>
      <c r="H163" s="11">
        <v>6</v>
      </c>
      <c r="I163" s="9">
        <v>39764</v>
      </c>
      <c r="J163" s="9">
        <v>39813</v>
      </c>
      <c r="K163" s="11">
        <v>49</v>
      </c>
      <c r="L163" s="11">
        <v>1</v>
      </c>
      <c r="M163" s="10">
        <v>0</v>
      </c>
      <c r="N163" s="11" t="s">
        <v>434</v>
      </c>
      <c r="O163" s="11" t="s">
        <v>615</v>
      </c>
      <c r="P163" s="11"/>
      <c r="Q163" s="11"/>
      <c r="R163" s="11"/>
      <c r="S163" s="11"/>
    </row>
    <row r="164" spans="1:19" ht="48">
      <c r="A164" s="5" t="s">
        <v>214</v>
      </c>
      <c r="B164" s="20" t="s">
        <v>215</v>
      </c>
      <c r="C164" s="6" t="s">
        <v>359</v>
      </c>
      <c r="D164" s="7">
        <v>50000</v>
      </c>
      <c r="E164" s="7">
        <v>15470</v>
      </c>
      <c r="F164" s="81">
        <v>31</v>
      </c>
      <c r="G164" s="8">
        <v>190</v>
      </c>
      <c r="H164" s="8">
        <v>1484</v>
      </c>
      <c r="I164" s="9">
        <v>39765</v>
      </c>
      <c r="J164" s="9">
        <v>39795</v>
      </c>
      <c r="K164" s="10">
        <v>30</v>
      </c>
      <c r="L164" s="10">
        <v>0</v>
      </c>
      <c r="M164" s="10">
        <v>0</v>
      </c>
      <c r="N164" s="11" t="s">
        <v>630</v>
      </c>
      <c r="O164" s="11" t="s">
        <v>630</v>
      </c>
      <c r="P164" s="11" t="s">
        <v>641</v>
      </c>
      <c r="Q164" s="11" t="s">
        <v>442</v>
      </c>
      <c r="R164" s="11"/>
      <c r="S164" s="11"/>
    </row>
    <row r="165" spans="1:19" ht="84">
      <c r="A165" s="5" t="s">
        <v>216</v>
      </c>
      <c r="B165" s="20" t="s">
        <v>150</v>
      </c>
      <c r="C165" s="6" t="s">
        <v>505</v>
      </c>
      <c r="D165" s="7">
        <v>12500</v>
      </c>
      <c r="E165" s="13">
        <v>3810</v>
      </c>
      <c r="F165" s="82">
        <v>30</v>
      </c>
      <c r="G165" s="11">
        <v>49</v>
      </c>
      <c r="H165" s="11">
        <v>291</v>
      </c>
      <c r="I165" s="14">
        <v>39766</v>
      </c>
      <c r="J165" s="14">
        <v>39796</v>
      </c>
      <c r="K165" s="11">
        <v>30</v>
      </c>
      <c r="L165" s="11">
        <v>2</v>
      </c>
      <c r="M165" s="10">
        <v>0</v>
      </c>
      <c r="N165" s="11" t="s">
        <v>587</v>
      </c>
      <c r="O165" s="11" t="s">
        <v>587</v>
      </c>
      <c r="P165" s="11" t="s">
        <v>641</v>
      </c>
      <c r="Q165" s="11" t="s">
        <v>92</v>
      </c>
      <c r="R165" s="11"/>
      <c r="S165" s="11"/>
    </row>
    <row r="166" spans="1:19" ht="72">
      <c r="A166" s="5" t="s">
        <v>120</v>
      </c>
      <c r="B166" s="20" t="s">
        <v>221</v>
      </c>
      <c r="C166" s="6" t="s">
        <v>359</v>
      </c>
      <c r="D166" s="7">
        <v>14000</v>
      </c>
      <c r="E166" s="7">
        <v>7385</v>
      </c>
      <c r="F166" s="81">
        <v>50</v>
      </c>
      <c r="G166" s="8">
        <v>17</v>
      </c>
      <c r="H166" s="8">
        <v>26</v>
      </c>
      <c r="I166" s="9">
        <v>39767</v>
      </c>
      <c r="J166" s="9">
        <v>39797</v>
      </c>
      <c r="K166" s="10">
        <v>30</v>
      </c>
      <c r="L166" s="10">
        <v>0</v>
      </c>
      <c r="M166" s="10">
        <v>0</v>
      </c>
      <c r="N166" s="11" t="s">
        <v>630</v>
      </c>
      <c r="O166" s="11" t="s">
        <v>630</v>
      </c>
      <c r="P166" s="11" t="s">
        <v>641</v>
      </c>
      <c r="Q166" s="11" t="s">
        <v>151</v>
      </c>
      <c r="R166" s="11"/>
      <c r="S166" s="11"/>
    </row>
    <row r="167" spans="1:19" ht="72">
      <c r="A167" s="5" t="s">
        <v>152</v>
      </c>
      <c r="B167" s="20" t="s">
        <v>106</v>
      </c>
      <c r="C167" s="6" t="s">
        <v>107</v>
      </c>
      <c r="D167" s="7">
        <v>2500</v>
      </c>
      <c r="E167" s="13">
        <v>95</v>
      </c>
      <c r="F167" s="82">
        <v>4</v>
      </c>
      <c r="G167" s="11">
        <v>5</v>
      </c>
      <c r="H167" s="11">
        <v>10</v>
      </c>
      <c r="I167" s="9">
        <v>39770</v>
      </c>
      <c r="J167" s="9">
        <v>39800</v>
      </c>
      <c r="K167" s="11">
        <v>30</v>
      </c>
      <c r="L167" s="11">
        <v>0</v>
      </c>
      <c r="M167" s="10">
        <v>0</v>
      </c>
      <c r="N167" s="11" t="s">
        <v>204</v>
      </c>
      <c r="O167" s="11" t="s">
        <v>640</v>
      </c>
      <c r="P167" s="11"/>
      <c r="Q167" s="11"/>
      <c r="R167" s="11"/>
      <c r="S167" s="11"/>
    </row>
    <row r="168" spans="1:19" ht="72">
      <c r="A168" s="5" t="s">
        <v>108</v>
      </c>
      <c r="B168" s="20" t="s">
        <v>109</v>
      </c>
      <c r="C168" s="6" t="s">
        <v>639</v>
      </c>
      <c r="D168" s="7">
        <v>3200</v>
      </c>
      <c r="E168" s="13">
        <v>626</v>
      </c>
      <c r="F168" s="82">
        <v>20</v>
      </c>
      <c r="G168" s="11">
        <v>13</v>
      </c>
      <c r="H168" s="11">
        <v>66</v>
      </c>
      <c r="I168" s="9">
        <v>39770</v>
      </c>
      <c r="J168" s="9">
        <v>39801</v>
      </c>
      <c r="K168" s="11">
        <v>30</v>
      </c>
      <c r="L168" s="11">
        <v>0</v>
      </c>
      <c r="M168" s="10">
        <v>0</v>
      </c>
      <c r="N168" s="11" t="s">
        <v>110</v>
      </c>
      <c r="O168" s="11" t="s">
        <v>640</v>
      </c>
      <c r="P168" s="11"/>
      <c r="Q168" s="11"/>
      <c r="R168" s="11"/>
      <c r="S168" s="11"/>
    </row>
    <row r="169" spans="1:19" ht="60">
      <c r="A169" s="5" t="s">
        <v>111</v>
      </c>
      <c r="B169" s="20" t="s">
        <v>112</v>
      </c>
      <c r="C169" s="6" t="s">
        <v>113</v>
      </c>
      <c r="D169" s="7">
        <v>5000</v>
      </c>
      <c r="E169" s="13">
        <v>16577</v>
      </c>
      <c r="F169" s="82">
        <v>330</v>
      </c>
      <c r="G169" s="11">
        <v>906</v>
      </c>
      <c r="H169" s="11">
        <v>471</v>
      </c>
      <c r="I169" s="9">
        <v>39771</v>
      </c>
      <c r="J169" s="9">
        <v>39797</v>
      </c>
      <c r="K169" s="11">
        <v>27</v>
      </c>
      <c r="L169" s="11">
        <v>5</v>
      </c>
      <c r="M169" s="10">
        <v>91</v>
      </c>
      <c r="N169" s="11" t="s">
        <v>472</v>
      </c>
      <c r="O169" s="11" t="s">
        <v>125</v>
      </c>
      <c r="P169" s="11"/>
      <c r="Q169" s="11"/>
      <c r="R169" s="11"/>
      <c r="S169" s="11"/>
    </row>
    <row r="170" spans="1:19" ht="72">
      <c r="A170" s="5" t="s">
        <v>114</v>
      </c>
      <c r="B170" s="20" t="s">
        <v>115</v>
      </c>
      <c r="C170" s="6" t="s">
        <v>116</v>
      </c>
      <c r="D170" s="7">
        <v>3000</v>
      </c>
      <c r="E170" s="7">
        <v>3686</v>
      </c>
      <c r="F170" s="82">
        <v>63</v>
      </c>
      <c r="G170" s="8">
        <v>38</v>
      </c>
      <c r="H170" s="8">
        <v>50</v>
      </c>
      <c r="I170" s="9">
        <v>39772</v>
      </c>
      <c r="J170" s="9">
        <v>39802</v>
      </c>
      <c r="K170" s="10">
        <v>30</v>
      </c>
      <c r="L170" s="10">
        <v>0</v>
      </c>
      <c r="M170" s="10">
        <v>1</v>
      </c>
      <c r="N170" s="11" t="s">
        <v>117</v>
      </c>
      <c r="O170" s="11" t="s">
        <v>125</v>
      </c>
      <c r="P170" s="11" t="s">
        <v>641</v>
      </c>
      <c r="Q170" s="11" t="s">
        <v>614</v>
      </c>
      <c r="R170" s="11"/>
      <c r="S170" s="11"/>
    </row>
    <row r="171" spans="1:19" ht="48">
      <c r="A171" s="5" t="s">
        <v>118</v>
      </c>
      <c r="B171" s="20" t="s">
        <v>119</v>
      </c>
      <c r="C171" s="6" t="s">
        <v>171</v>
      </c>
      <c r="D171" s="7">
        <v>2500</v>
      </c>
      <c r="E171" s="13">
        <v>1570</v>
      </c>
      <c r="F171" s="82">
        <v>63</v>
      </c>
      <c r="G171" s="11">
        <v>18</v>
      </c>
      <c r="H171" s="11">
        <v>46</v>
      </c>
      <c r="I171" s="9">
        <v>39772</v>
      </c>
      <c r="J171" s="9">
        <v>39802</v>
      </c>
      <c r="K171" s="11">
        <v>30</v>
      </c>
      <c r="L171" s="11">
        <v>0</v>
      </c>
      <c r="M171" s="10">
        <v>0</v>
      </c>
      <c r="N171" s="11" t="s">
        <v>308</v>
      </c>
      <c r="O171" s="11" t="s">
        <v>50</v>
      </c>
      <c r="P171" s="11"/>
      <c r="Q171" s="11"/>
      <c r="R171" s="11"/>
      <c r="S171" s="11"/>
    </row>
    <row r="172" spans="1:19" ht="48">
      <c r="A172" s="5" t="s">
        <v>172</v>
      </c>
      <c r="B172" s="20" t="s">
        <v>173</v>
      </c>
      <c r="C172" s="6" t="s">
        <v>639</v>
      </c>
      <c r="D172" s="7">
        <v>3850</v>
      </c>
      <c r="E172" s="13">
        <v>260</v>
      </c>
      <c r="F172" s="82">
        <v>6</v>
      </c>
      <c r="G172" s="11">
        <v>5</v>
      </c>
      <c r="H172" s="11">
        <v>71</v>
      </c>
      <c r="I172" s="9">
        <v>39778</v>
      </c>
      <c r="J172" s="9">
        <v>39805</v>
      </c>
      <c r="K172" s="11">
        <v>27</v>
      </c>
      <c r="L172" s="11">
        <v>0</v>
      </c>
      <c r="M172" s="10">
        <v>0</v>
      </c>
      <c r="N172" s="11" t="s">
        <v>627</v>
      </c>
      <c r="O172" s="11" t="s">
        <v>587</v>
      </c>
      <c r="P172" s="11" t="s">
        <v>641</v>
      </c>
      <c r="Q172" s="11" t="s">
        <v>627</v>
      </c>
      <c r="R172" s="11"/>
      <c r="S172" s="11"/>
    </row>
    <row r="173" spans="1:19" ht="48">
      <c r="A173" s="5" t="s">
        <v>242</v>
      </c>
      <c r="B173" s="20" t="s">
        <v>145</v>
      </c>
      <c r="C173" s="6" t="s">
        <v>146</v>
      </c>
      <c r="D173" s="7">
        <v>5000</v>
      </c>
      <c r="E173" s="13">
        <v>5000</v>
      </c>
      <c r="F173" s="82">
        <v>100</v>
      </c>
      <c r="G173" s="11">
        <v>38</v>
      </c>
      <c r="H173" s="11"/>
      <c r="I173" s="9">
        <v>39799</v>
      </c>
      <c r="J173" s="9" t="s">
        <v>147</v>
      </c>
      <c r="K173" s="11"/>
      <c r="L173" s="11"/>
      <c r="M173" s="10"/>
      <c r="N173" s="11" t="s">
        <v>148</v>
      </c>
      <c r="O173" s="11" t="s">
        <v>125</v>
      </c>
      <c r="P173" s="11"/>
      <c r="Q173" s="11"/>
      <c r="R173" s="11"/>
      <c r="S173" s="11"/>
    </row>
    <row r="174" spans="1:19" ht="48">
      <c r="A174" s="5" t="s">
        <v>35</v>
      </c>
      <c r="B174" s="20" t="s">
        <v>36</v>
      </c>
      <c r="C174" s="6" t="s">
        <v>191</v>
      </c>
      <c r="D174" s="7">
        <v>350</v>
      </c>
      <c r="E174" s="13">
        <v>970</v>
      </c>
      <c r="F174" s="82">
        <v>277</v>
      </c>
      <c r="G174" s="11">
        <v>27</v>
      </c>
      <c r="H174" s="11"/>
      <c r="I174" s="9" t="s">
        <v>192</v>
      </c>
      <c r="J174" s="9">
        <v>39760</v>
      </c>
      <c r="K174" s="11">
        <v>31</v>
      </c>
      <c r="L174" s="11"/>
      <c r="M174" s="10"/>
      <c r="N174" s="11" t="s">
        <v>653</v>
      </c>
      <c r="O174" s="11" t="s">
        <v>640</v>
      </c>
      <c r="P174" s="11"/>
      <c r="Q174" s="11"/>
      <c r="R174" s="11"/>
      <c r="S174" s="11"/>
    </row>
    <row r="175" spans="1:19" ht="60">
      <c r="A175" s="5" t="s">
        <v>143</v>
      </c>
      <c r="B175" s="20" t="s">
        <v>144</v>
      </c>
      <c r="C175" s="6" t="s">
        <v>191</v>
      </c>
      <c r="D175" s="7">
        <v>350</v>
      </c>
      <c r="E175" s="13">
        <v>3136</v>
      </c>
      <c r="F175" s="82">
        <v>896</v>
      </c>
      <c r="G175" s="11">
        <v>59</v>
      </c>
      <c r="H175" s="11"/>
      <c r="I175" s="9">
        <v>39701</v>
      </c>
      <c r="J175" s="9">
        <v>39732</v>
      </c>
      <c r="K175" s="11">
        <v>31</v>
      </c>
      <c r="L175" s="11"/>
      <c r="M175" s="10"/>
      <c r="N175" s="11" t="s">
        <v>652</v>
      </c>
      <c r="O175" s="11" t="s">
        <v>640</v>
      </c>
      <c r="P175" s="11"/>
      <c r="Q175" s="11"/>
      <c r="R175" s="11"/>
      <c r="S175" s="11"/>
    </row>
    <row r="176" spans="1:19" ht="72">
      <c r="A176" s="5" t="s">
        <v>536</v>
      </c>
      <c r="B176" s="20" t="s">
        <v>623</v>
      </c>
      <c r="C176" s="6" t="s">
        <v>624</v>
      </c>
      <c r="D176" s="7">
        <v>1800</v>
      </c>
      <c r="E176" s="13">
        <v>1859</v>
      </c>
      <c r="F176" s="82">
        <v>104</v>
      </c>
      <c r="G176" s="11">
        <v>26</v>
      </c>
      <c r="H176" s="11"/>
      <c r="I176" s="9">
        <v>39549</v>
      </c>
      <c r="J176" s="9">
        <v>39579</v>
      </c>
      <c r="K176" s="11">
        <v>30</v>
      </c>
      <c r="L176" s="11"/>
      <c r="M176" s="10"/>
      <c r="N176" s="11" t="s">
        <v>651</v>
      </c>
      <c r="O176" s="11" t="s">
        <v>125</v>
      </c>
      <c r="P176" s="11"/>
      <c r="Q176" s="11"/>
      <c r="R176" s="11"/>
      <c r="S176" s="11"/>
    </row>
    <row r="177" spans="1:19" ht="48">
      <c r="A177" s="5" t="s">
        <v>625</v>
      </c>
      <c r="B177" s="20" t="s">
        <v>645</v>
      </c>
      <c r="C177" s="6" t="s">
        <v>646</v>
      </c>
      <c r="D177" s="7">
        <v>750</v>
      </c>
      <c r="E177" s="13">
        <v>872</v>
      </c>
      <c r="F177" s="82">
        <v>116</v>
      </c>
      <c r="G177" s="11">
        <v>13</v>
      </c>
      <c r="H177" s="11"/>
      <c r="I177" s="9">
        <v>39068</v>
      </c>
      <c r="J177" s="9">
        <v>39109</v>
      </c>
      <c r="K177" s="11">
        <v>41</v>
      </c>
      <c r="L177" s="11"/>
      <c r="M177" s="10"/>
      <c r="N177" s="11" t="s">
        <v>650</v>
      </c>
      <c r="O177" s="11" t="s">
        <v>50</v>
      </c>
      <c r="P177" s="11"/>
      <c r="Q177" s="11"/>
      <c r="R177" s="11"/>
      <c r="S177" s="11"/>
    </row>
    <row r="178" spans="1:19" ht="72">
      <c r="A178" s="5" t="s">
        <v>174</v>
      </c>
      <c r="B178" s="20" t="s">
        <v>240</v>
      </c>
      <c r="C178" s="6" t="s">
        <v>241</v>
      </c>
      <c r="D178" s="7">
        <v>3500</v>
      </c>
      <c r="E178" s="13">
        <v>0</v>
      </c>
      <c r="F178" s="82">
        <v>0</v>
      </c>
      <c r="G178" s="11">
        <v>0</v>
      </c>
      <c r="H178" s="11">
        <v>0</v>
      </c>
      <c r="I178" s="9">
        <v>39779</v>
      </c>
      <c r="J178" s="9">
        <v>39805</v>
      </c>
      <c r="K178" s="11">
        <v>27</v>
      </c>
      <c r="L178" s="11">
        <v>0</v>
      </c>
      <c r="M178" s="10">
        <v>0</v>
      </c>
      <c r="N178" s="11" t="s">
        <v>587</v>
      </c>
      <c r="O178" s="11" t="s">
        <v>587</v>
      </c>
      <c r="P178" s="11" t="s">
        <v>641</v>
      </c>
      <c r="Q178" s="11" t="s">
        <v>627</v>
      </c>
      <c r="R178" s="11"/>
      <c r="S178" s="11"/>
    </row>
    <row r="179" spans="1:19" ht="72">
      <c r="A179" s="5" t="s">
        <v>647</v>
      </c>
      <c r="B179" s="20" t="s">
        <v>648</v>
      </c>
      <c r="C179" s="6" t="s">
        <v>646</v>
      </c>
      <c r="D179" s="7">
        <v>1200</v>
      </c>
      <c r="E179" s="13">
        <v>1356</v>
      </c>
      <c r="F179" s="82">
        <v>113</v>
      </c>
      <c r="G179" s="11">
        <v>18</v>
      </c>
      <c r="H179" s="11"/>
      <c r="I179" s="9">
        <v>39563</v>
      </c>
      <c r="J179" s="9">
        <v>39598</v>
      </c>
      <c r="K179" s="11">
        <v>35</v>
      </c>
      <c r="L179" s="11"/>
      <c r="M179" s="10"/>
      <c r="N179" s="11" t="s">
        <v>649</v>
      </c>
      <c r="O179" s="11" t="s">
        <v>640</v>
      </c>
      <c r="P179" s="11"/>
      <c r="Q179" s="11"/>
      <c r="R179" s="11"/>
      <c r="S179" s="11"/>
    </row>
    <row r="180" spans="1:19" ht="72">
      <c r="A180" s="5" t="s">
        <v>601</v>
      </c>
      <c r="B180" s="20" t="s">
        <v>620</v>
      </c>
      <c r="C180" s="6" t="s">
        <v>646</v>
      </c>
      <c r="D180" s="7">
        <v>9500</v>
      </c>
      <c r="E180" s="13">
        <v>13131</v>
      </c>
      <c r="F180" s="82">
        <v>138</v>
      </c>
      <c r="G180" s="11">
        <v>13</v>
      </c>
      <c r="H180" s="11"/>
      <c r="I180" s="9">
        <v>39794</v>
      </c>
      <c r="J180" s="9" t="s">
        <v>621</v>
      </c>
      <c r="K180" s="11">
        <v>36</v>
      </c>
      <c r="L180" s="11"/>
      <c r="M180" s="10"/>
      <c r="N180" s="11"/>
      <c r="O180" s="11" t="s">
        <v>176</v>
      </c>
      <c r="P180" s="11"/>
      <c r="Q180" s="11"/>
      <c r="R180" s="11"/>
      <c r="S180" s="11"/>
    </row>
    <row r="181" spans="1:19" ht="12.75">
      <c r="A181" s="5"/>
      <c r="B181" s="20"/>
      <c r="C181" s="6"/>
      <c r="D181" s="7"/>
      <c r="E181" s="13"/>
      <c r="F181" s="82"/>
      <c r="G181" s="11"/>
      <c r="H181" s="11"/>
      <c r="I181" s="9"/>
      <c r="J181" s="9"/>
      <c r="K181" s="11"/>
      <c r="L181" s="11"/>
      <c r="M181" s="10"/>
      <c r="N181" s="11"/>
      <c r="O181" s="11"/>
      <c r="P181" s="11"/>
      <c r="Q181" s="11"/>
      <c r="R181" s="11"/>
      <c r="S181" s="11"/>
    </row>
    <row r="182" spans="1:19" ht="36">
      <c r="A182" s="5" t="s">
        <v>643</v>
      </c>
      <c r="B182" s="20" t="s">
        <v>644</v>
      </c>
      <c r="C182" s="6" t="s">
        <v>594</v>
      </c>
      <c r="D182" s="7">
        <v>1200</v>
      </c>
      <c r="E182" s="13">
        <v>4184</v>
      </c>
      <c r="F182" s="82">
        <v>348</v>
      </c>
      <c r="G182" s="11">
        <v>92</v>
      </c>
      <c r="H182" s="11"/>
      <c r="I182" s="9">
        <v>39809</v>
      </c>
      <c r="J182" s="9" t="s">
        <v>147</v>
      </c>
      <c r="K182" s="11">
        <v>20</v>
      </c>
      <c r="L182" s="11"/>
      <c r="M182" s="10"/>
      <c r="N182" s="11"/>
      <c r="O182" s="11" t="s">
        <v>53</v>
      </c>
      <c r="P182" s="11"/>
      <c r="Q182" s="11"/>
      <c r="R182" s="11"/>
      <c r="S182" s="11"/>
    </row>
    <row r="183" spans="1:19" ht="12.75">
      <c r="A183" s="5"/>
      <c r="B183" s="20"/>
      <c r="C183" s="6"/>
      <c r="D183" s="7"/>
      <c r="E183" s="13"/>
      <c r="F183" s="11"/>
      <c r="G183" s="11"/>
      <c r="H183" s="11"/>
      <c r="I183" s="9"/>
      <c r="J183" s="9"/>
      <c r="K183" s="11"/>
      <c r="L183" s="11"/>
      <c r="M183" s="10"/>
      <c r="N183" s="11"/>
      <c r="O183" s="11"/>
      <c r="P183" s="11"/>
      <c r="Q183" s="11"/>
      <c r="R183" s="11"/>
      <c r="S183" s="11"/>
    </row>
    <row r="184" spans="1:19" ht="12.75">
      <c r="A184" s="5"/>
      <c r="B184" s="20"/>
      <c r="C184" s="76">
        <f>SUM(D2:D182)</f>
        <v>1172570</v>
      </c>
      <c r="D184" s="7"/>
      <c r="E184" s="13">
        <f>SUMIF(F2:F182, "&gt;=100", E2:E182)</f>
        <v>1002353</v>
      </c>
      <c r="F184" s="11"/>
      <c r="G184" s="11"/>
      <c r="H184" s="11"/>
      <c r="I184" s="9"/>
      <c r="J184" s="9"/>
      <c r="K184" s="11"/>
      <c r="L184" s="11"/>
      <c r="M184" s="10"/>
      <c r="N184" s="11"/>
      <c r="O184" s="11"/>
      <c r="P184" s="11"/>
      <c r="Q184" s="11"/>
      <c r="R184" s="11"/>
      <c r="S184" s="11"/>
    </row>
    <row r="185" spans="1:19" ht="12.75">
      <c r="A185" s="5"/>
      <c r="B185" s="20"/>
      <c r="C185" s="6"/>
      <c r="D185" s="7"/>
      <c r="E185" s="13"/>
      <c r="F185" s="11"/>
      <c r="G185" s="11"/>
      <c r="H185" s="11"/>
      <c r="I185" s="9"/>
      <c r="J185" s="9"/>
      <c r="K185" s="11"/>
      <c r="L185" s="11"/>
      <c r="M185" s="10"/>
      <c r="O185" s="11"/>
      <c r="P185" s="11"/>
      <c r="Q185" s="11"/>
      <c r="R185" s="11"/>
      <c r="S185" s="11"/>
    </row>
    <row r="186" spans="1:19" ht="24">
      <c r="A186" s="6" t="s">
        <v>24</v>
      </c>
      <c r="B186" s="20">
        <f>CORREL(F2:F179,H2:H179)</f>
        <v>2.1331033584109281E-2</v>
      </c>
      <c r="C186" s="6"/>
      <c r="D186" s="7">
        <f>AVERAGE(((((D3,D10),(D9,D7,D8,D2,D5),(D14,D6),D4),(D16,D13),(D22,D11),(D21,D18,D20),(D28,D26,D27,D25,D24),((D34,D35,D31,D33),D32),D38,(D30,(D39,D41)),(D45,D44),D49,(D48,(D47,D53),D52),D57,D58,D55,((D64,D67),D62),D66,((D69,D72,D68),D73),(D76,D84,D75,D79,D78,D77),(D71,D90),(D88,D82),D89,((D91,D97),D87),((D102,D83,D98),(D96,D100)),(D99,D101),((D110,D92),D103,D109,D108),D111,D106,(D115,D107),(D121,D120),(D126,D127,(D125,D123),D124,D129),(D128,D132),(D142,D136),D140,(D144,(D145,D141)),(D148,D138,D156,D152,D149,D153,D147),((D161,D146),D162,D154,(D150,D157,D165),(D155,D158),(D160,(D164,D166))),((D168,D172),D178,D171,D151,D167,D170,D163)),(D17,(D15,D12),D19,D23,D29,(D36,D37),D40,((D122,D43),D42),D46,(D51,D50),(D54,D56),D59,D61,D60,D63,(D70,D65),D74,D80,D81,D86,(D93,D85),D95,D94,(D104,D105),D113,(D112,D116),D119,D118,D117,D130,D143,D135,D139,D137,D159,D169)))+D189</f>
        <v>1011708.9523809524</v>
      </c>
      <c r="E186" s="7">
        <f>AVERAGE(((((E3,E10),(E9,E7,E8,E2,E5),(E14,E6),E4),(E16,E13),(E22,E11),(E21,E18,E20),(E28,E26,E27,E25,E24),((E34,E35,E31,E33),E32),E38,(E30,(E39,E41)),(E45,E44),E49,(E48,(E47,E53),E52),E57,E58,E55,((E64,E67),E62),E66,((E69,E72,E68),E73),(E76,E84,E75,E79,E78,E77),(E71,E90),(E88,E82),E89,((E91,E97),E87),((E102,E83,E98),(E96,E100)),(E99,E101),((E110,E92),E103,E109,E108),E111,E106,(E115,E107),(E121,E120),(E126,E127,(E125,E123),E124,E129),(E128,E132),(E142,E136),E140,(E144,(E145,E141)),(E148,E138,E156,E152,E149,E153,E147),((E161,E146),E162,E154,(E150,E157,E165),(E155,E158),(E160,(E164,E166))),((E168,E172),E178,E171,E151,E167,E170,E163)),(E17,(E15,E12),E19,E23,E29,(E36,E37),E40,((E122,E43),E42),E46,(E51,E50),(E54,E56),E59,E61,E60,E63,(E70,E65),E74,E80,E81,E86,(E93,E85),E95,E94,(E104,E105),E113,(E112,E116),E119,E118,E117,E130,E143,E135,E139,E137,E159,E169)))+E188</f>
        <v>788639.47023809527</v>
      </c>
      <c r="F186" s="16">
        <f>AVERAGE(((((F3,F10),(F9,F7,F8,F2,F5),(F14,F6),F4),(F16,F13),(F22,F11),(F21,F18,F20),(F28,F26,F27,F25,F24),((F34,F35,F31,F33),F32),F38,(F30,(F39,F41)),(F45,F44),F49,(F48,(F47,F53),F52),F57,F58,F55,((F64,F67),F62),F66,((F69,F72,F68),F73),(F76,F84,F75,F79,F78,F77),(F71,F90),(F88,F82),F89,((F91,F97),F87),((F102,F83,F98),(F96,F100)),(F99,F101),((F110,F92),F103,F109,F108),F111,F106,(F115,F107),(F121,F120),(F126,F127,(F125,F123),F124,F129),(F128,F132),(F142,F136),F140,(F144,(F145,F141)),(F148,F138,F156,F152,F149,F153,F147),((F161,F146),F162,F154,(F150,F157,F165),(F155,F158),(F160,(F164,F166))),((F168,F172),F178,F171,F151,F167,F170,F163)),(F17,(F15,F12),F19,F23,F29,(F36,F37),F40,((F122,F43),F42),F46,(F51,F50),(F54,F56),F59,F61,F60,F63,(F70,F65),F74,F80,F81,F86,(F93,F85),F95,F94,(F104,F105),F113,(F112,F116),F119,F118,F117,F130,F143,F135,F139,F137,F159,F169)))</f>
        <v>127.06547619047619</v>
      </c>
      <c r="G186" s="17">
        <f>AVERAGE(((((G3,G10),(G9,G7,G8,G2,G5),(G14,G6),G4),(G16,G13),(G22,G11),(G21,G18,G20),(G28,G26,G27,G25,G24),((G34,G35,G31,G33),G32),G38,(G30,(G39,G41)),(G45,G44),G49,(G48,(G47,G53),G52),G57,G58,G55,((G64,G67),G62),G66,((G69,G72,G68),G73),(G76,G84,G75,G79,G78,G77),(G71,G90),(G88,G82),G89,((G91,G97),G87),((G102,G83,G98),(G96,G100)),(G99,G101),((G110,G92),G103,G109,G108),G111,G106,(G115,G107),(G121,G120),(G126,G127,(G125,G123),G124,G129),(G128,G132),(G142,G136),G140,(G144,(G145,G141)),(G148,G138,G156,G152,G149,G153,G147),((G161,G146),G162,G154,(G150,G157,G165),(G155,G158),(G160,(G164,G166))),((G168,G172),G178,G171,G151,G167,G170,G163)),(G17,(G15,G12),G19,G23,G29,(G36,G37),G40,((G122,G43),G42),G46,(G51,G50),(G54,G56),G59,G61,G60,G63,(G70,G65),G74,G80,G81,G86,(G93,G85),G95,G94,(G104,G105),G113,(G112,G116),G119,G118,G117,G130,G143,G135,G139,G137,G159,G169)))</f>
        <v>93.285714285714292</v>
      </c>
      <c r="H186" s="17">
        <f>AVERAGE(((((H3,H10),(H9,H7,H8,H2,H5),(H14,H6),H4),(H16,H13),(H22,H11),(H21,H18,H20),(H28,H26,H27,H25,H24),((H34,H35,H31,H33),H32),H38,(H30,(H39,H41)),(H45,H44),H49,(H48,(H47,H53),H52),H57,H58,H55,((H64,H67),H62),H66,((H69,H72,H68),H73),(H76,H84,H75,H79,H78,H77),(H71,H90),(H88,H82),H89,((H91,H97),H87),((H102,H83,H98),(H96,H100)),(H99,H101),((H110,H92),H103,H109,H108),H111,H106,(H115,H107),(H121,H120),(H126,H127,(H125,H123),H124,H129),(H128,H132),(H142,H136),H140,(H144,(H145,H141)),(H148,H138,H156,H152,H149,H153,H147),((H161,H146),H162,H154,(H150,H157,H165),(H155,H158),(H160,(H164,H166))),((H168,H172),H178,H171,H151,H167,H170,H163)),(H17,(H15,H12),H19,H23,H29,(H36,H37),H40,((H122,H43),H42),H46,(H51,H50),(H54,H56),H59,H61,H60,H63,(H70,H65),H74,H80,H81,H86,(H93,H85),H95,H94,(H104,H105),H113,(H112,H116),H119,H118,H117,H130,H143,H135,H139,H137,H159,H169)))</f>
        <v>313.91071428571428</v>
      </c>
      <c r="I186" s="11"/>
      <c r="J186" s="11"/>
      <c r="K186" s="16">
        <f>AVERAGE(((((K3,K10),(K9,K7,K8,K2,K5),(K14,K6),K4),(K16,K13),(K22,K11),(K21,K18,K20),(K28,K26,K27,K25,K24),((K34,K35,K31,K33),K32),K38,(K30,(K39,K41)),(K45,K44),K49,(K48,(K47,K53),K52),K57,K58,K55,((K64,K67),K62),K66,((K69,K72,K68),K73),(K76,K84,K75,K79,K78,K77),(K71,K90),(K88,K82),K89,((K91,K97),K87),((K102,K83,K98),(K96,K100)),(K99,K101),((K110,K92),K103,K109,K108),K111,K106,(K115,K107),(K121,K120),(K126,K127,(K125,K123),K124,K129),(K128,K132),(K142,K136),K140,(K144,(K145,K141)),(K148,K138,K156,K152,K149,K153,K147),((K161,K146),K162,K154,(K150,K157,K165),(K155,K158),(K160,(K164,K166))),((K168,K172),K178,K171,K151,K167,K170,K163)),(K17,(K15,K12),K19,K23,K29,(K36,K37),K40,((K122,K43),K42),K46,(K51,K50),(K54,K56),K59,K61,K60,K63,(K70,K65),K74,K80,K81,K86,(K93,K85),K95,K94,(K104,K105),K113,(K112,K116),K119,K118,K117,K130,K143,K135,K139,K137,K159,K169)))</f>
        <v>33.827380952380949</v>
      </c>
      <c r="L186" s="16">
        <f>AVERAGE(((((L3,L10),(L9,L7,L8,L2,L5),(L14,L6),L4),(L16,L13),(L22,L11),(L21,L18,L20),(L28,L26,L27,L25,L24),((L34,L35,L31,L33),L32),L38,(L30,(L39,L41)),(L45,L44),L49,(L48,(L47,L53),L52),L57,L58,L55,((L64,L67),L62),L66,((L69,L72,L68),L73),(L76,L84,L75,L79,L78,L77),(L71,L90),(L88,L82),L89,((L91,L97),L87),((L102,L83,L98),(L96,L100)),(L99,L101),((L110,L92),L103,L109,L108),L111,L106,(L115,L107),(L121,L120),(L126,L127,(L125,L123),L124,L129),(L128,L132),(L142,L136),L140,(L144,(L145,L141)),(L148,L138,L156,L152,L149,L153,L147),((L161,L146),L162,L154,(L150,L157,L165),(L155,L158),(L160,(L164,L166))),((L168,L172),L178,L171,L151,L167,L170,L163)),(L17,(L15,L12),L19,L23,L29,(L36,L37),L40,((L122,L43),L42),L46,(L51,L50),(L54,L56),L59,L61,L60,L63,(L70,L65),L74,L80,L81,L86,(L93,L85),L95,L94,(L104,L105),L113,(L112,L116),L119,L118,L117,L130,L143,L135,L139,L137,L159,L169)))</f>
        <v>6.2215568862275452</v>
      </c>
      <c r="M186" s="10"/>
      <c r="N186" s="11"/>
      <c r="O186" s="11"/>
      <c r="P186" s="11"/>
      <c r="Q186" s="11"/>
      <c r="R186" s="11"/>
      <c r="S186" s="11"/>
    </row>
    <row r="187" spans="1:19" ht="24">
      <c r="A187" s="6" t="s">
        <v>25</v>
      </c>
      <c r="B187" s="6">
        <f>CORREL(K2:K179,F2:F179)</f>
        <v>-4.1409215617502049E-2</v>
      </c>
      <c r="C187" s="6"/>
      <c r="D187" s="7">
        <f>SUM(((((D3,D10),(D9,D7,D8,D2,D5),(D14,D6),D4),(D16,D13),(D22,D11),(D21,D18,D20),(D28,D26,D27,D25,D24),((D34,D35,D31,D33),D32),D38,(D30,(D39,D41)),(D45,D44),D49,(D48,(D47,D53),D52),D57,D58,D55,((D64,D67),D62),D66,((D69,D72,D68),D73),(D76,D84,D75,D79,D78,D77),(D71,D90),(D88,D82),D89,((D91,D97),D87),((D102,D83,D98),(D96,D100)),(D99,D101),((D110,D92),D103,D109,D108),D111,D106,(D115,D107),(D121,D120),(D126,D127,(D125,D123),D124,D129),(D128,D132),(D142,D136),D140,(D144,(D145,D141)),(D148,D138,D156,D152,D149,D153,D147),((D161,D146),D162,D154,(D150,D157,D165),(D155,D158),(D160,(D164,D166))),((D168,D172),D178,D171,D151,D167,D170,D163)),(D17,(D15,D12),D19,D23,D29,(D36,D37),D40,((D122,D43),D42),D46,(D51,D50),(D54,D56),D59,D61,D60,D63,(D70,D65),D74,D80,D81,D86,(D93,D85),D95,D94,(D104,D105),D113,(D112,D116),D119,D118,D117,D130,D143,D135,D139,D137,D159,D169)))</f>
        <v>1124920</v>
      </c>
      <c r="E187" s="18">
        <f>SUM(E2:E178)</f>
        <v>1058377</v>
      </c>
      <c r="F187" s="11"/>
      <c r="G187" s="11">
        <f>SUM(((((G3,G10),(G9,G7,G8,G2,G5),(G14,G6),G4),(G16,G13),(G22,G11),(G21,G18,G20),(G28,G26,G27,G25,G24),((G34,G35,G31,G33),G32),G38,(G30,(G39,G41)),(G45,G44),G49,(G48,(G47,G53),G52),G57,G58,G55,((G64,G67),G62),G66,((G69,G72,G68),G73),(G76,G84,G75,G79,G78,G77),(G71,G90),(G88,G82),G89,((G91,G97),G87),((G102,G83,G98),(G96,G100)),(G99,G101),((G110,G92),G103,G109,G108),G111,G106,(G115,G107),(G121,G120),(G126,G127,(G125,G123),G124,G129),(G128,G132),(G142,G136),G140,(G144,(G145,G141)),(G148,G138,G156,G152,G149,G153,G147),((G161,G146),G162,G154,(G150,G157,G165),(G155,G158),(G160,(G164,G166))),((G168,G172),G178,G171,G151,G167,G170,G163)),(G17,(G15,G12),G19,G23,G29,(G36,G37),G40,((G122,G43),G42),G46,(G51,G50),(G54,G56),G59,G61,G60,G63,(G70,G65),G74,G80,G81,G86,(G93,G85),G95,G94,(G104,G105),G113,(G112,G116),G119,G118,G117,G130,G143,G135,G139,G137,G159,G169)))</f>
        <v>15672</v>
      </c>
      <c r="H187" s="11">
        <f>SUM(((((H3,H10),(H9,H7,H8,H2,H5),(H14,H6),H4),(H16,H13),(H22,H11),(H21,H18,H20),(H28,H26,H27,H25,H24),((H34,H35,H31,H33),H32),H38,(H30,(H39,H41)),(H45,H44),H49,(H48,(H47,H53),H52),H57,H58,H55,((H64,H67),H62),H66,((H69,H72,H68),H73),(H76,H84,H75,H79,H78,H77),(H71,H90),(H88,H82),H89,((H91,H97),H87),((H102,H83,H98),(H96,H100)),(H99,H101),((H110,H92),H103,H109,H108),H111,H106,(H115,H107),(H121,H120),(H126,H127,(H125,H123),H124,H129),(H128,H132),(H142,H136),H140,(H144,(H145,H141)),(H148,H138,H156,H152,H149,H153,H147),((H161,H146),H162,H154,(H150,H157,H165),(H155,H158),(H160,(H164,H166))),((H168,H172),H178,H171,H151,H167,H170,H163)),(H17,(H15,H12),H19,H23,H29,(H36,H37),H40,((H122,H43),H42),H46,(H51,H50),(H54,H56),H59,H61,H60,H63,(H70,H65),H74,H80,H81,H86,(H93,H85),H95,H94,(H104,H105),H113,(H112,H116),H119,H118,H117,H130,H143,H135,H139,H137,H159,H169)))</f>
        <v>52737</v>
      </c>
      <c r="I187" s="11"/>
      <c r="J187" s="11"/>
      <c r="K187" s="11"/>
      <c r="L187" s="11"/>
      <c r="M187" s="10"/>
      <c r="N187" s="11"/>
      <c r="O187" s="11"/>
      <c r="P187" s="11"/>
      <c r="Q187" s="11"/>
      <c r="R187" s="11"/>
      <c r="S187" s="11"/>
    </row>
    <row r="188" spans="1:19" ht="12.75">
      <c r="A188" s="5"/>
      <c r="B188" s="6"/>
      <c r="C188" s="6"/>
      <c r="D188" s="7"/>
      <c r="E188" s="7">
        <f>SUM(E187)-275733</f>
        <v>782644</v>
      </c>
      <c r="F188" s="17"/>
      <c r="G188" s="19">
        <f>E187/G187</f>
        <v>67.532988769780502</v>
      </c>
      <c r="H188" s="8"/>
      <c r="I188" s="11"/>
      <c r="J188" s="11"/>
      <c r="K188" s="10"/>
      <c r="L188" s="16">
        <f>SUM(L186,K186)</f>
        <v>40.048937838608495</v>
      </c>
      <c r="M188" s="10"/>
      <c r="N188" s="11"/>
      <c r="O188" s="11"/>
      <c r="P188" s="11"/>
      <c r="Q188" s="11"/>
      <c r="R188" s="11"/>
      <c r="S188" s="11"/>
    </row>
    <row r="189" spans="1:19" ht="15">
      <c r="A189" s="21"/>
      <c r="B189" s="28">
        <f>SUM(E2:E182)</f>
        <v>1077048</v>
      </c>
      <c r="C189" s="28">
        <f>SUM(D2:D182)</f>
        <v>1172570</v>
      </c>
      <c r="D189" s="23">
        <f>SUM(E2:E5,E7:E40,E42:E65,E67:E88,E90,E92:E98,E100,E102:E127,E130:E137,E139:E145,E147:E148,E150,E152:E153,E155,E159,E161,E169,E173,E174,E175:E177,E179:E180,E182)</f>
        <v>1005013</v>
      </c>
      <c r="E189" s="83">
        <f>SUMIF(F2:F182,"&gt;99",E2:E182)</f>
        <v>1002353</v>
      </c>
      <c r="F189" s="24"/>
      <c r="G189" s="25"/>
      <c r="H189" s="25"/>
      <c r="I189" s="26"/>
      <c r="J189" s="26"/>
      <c r="K189" s="24"/>
      <c r="L189" s="24"/>
      <c r="M189" s="24"/>
      <c r="N189" s="26"/>
      <c r="O189" s="26"/>
      <c r="P189" s="26"/>
      <c r="Q189" s="26"/>
      <c r="R189" s="26"/>
      <c r="S189" s="26"/>
    </row>
    <row r="190" spans="1:19" ht="20.100000000000001" customHeight="1">
      <c r="A190" s="21"/>
      <c r="B190" s="21"/>
      <c r="C190" s="21"/>
      <c r="D190" s="21"/>
      <c r="E190" s="21"/>
      <c r="F190" s="21"/>
      <c r="G190" s="21"/>
      <c r="H190" s="21"/>
      <c r="I190" s="21"/>
      <c r="J190" s="21"/>
      <c r="K190" s="21"/>
      <c r="L190" s="21"/>
      <c r="M190" s="21"/>
      <c r="N190" s="21"/>
      <c r="O190" s="21"/>
      <c r="P190" s="21"/>
      <c r="Q190" s="21"/>
      <c r="R190" s="21"/>
      <c r="S190" s="21"/>
    </row>
    <row r="191" spans="1:19" ht="20.100000000000001" customHeight="1">
      <c r="A191" s="21"/>
      <c r="B191" s="21">
        <f>COUNTIF('Raw Project Data'!F2:F179, "&gt;=175")- COUNTIF('Raw Project Data'!F2:F179, "&gt;200")</f>
        <v>4</v>
      </c>
      <c r="C191" s="21"/>
      <c r="D191" s="21"/>
      <c r="E191" s="21" t="s">
        <v>182</v>
      </c>
      <c r="F191" s="21" t="s">
        <v>183</v>
      </c>
      <c r="G191" s="21"/>
      <c r="H191" s="21"/>
      <c r="I191" s="21"/>
      <c r="J191" s="21"/>
      <c r="K191" s="21"/>
      <c r="L191" s="21"/>
      <c r="M191" s="21"/>
      <c r="N191" s="21"/>
      <c r="O191" s="21"/>
      <c r="P191" s="21"/>
      <c r="Q191" s="21"/>
      <c r="R191" s="21"/>
      <c r="S191" s="21"/>
    </row>
    <row r="192" spans="1:19" ht="20.100000000000001" customHeight="1">
      <c r="A192" s="21"/>
      <c r="B192" s="84">
        <f>C189-B194</f>
        <v>47650</v>
      </c>
      <c r="C192" s="21"/>
      <c r="D192" s="21" t="s">
        <v>123</v>
      </c>
      <c r="E192" s="86">
        <f>AVERAGE(E3,E10:E11,E16:E20,E25:E27,E36:E39,E47:E49,E53,E55:E56,E62,E71:E72,E75,E79,E83:E84,E94,E97:E98,E111,E115,E121,E124,E132:E133,E144,E148,E161)</f>
        <v>4045.7</v>
      </c>
      <c r="F192" s="86">
        <f>MEDIAN(E3,E10:E11,E16:E20,E25:E27,E36:E39,E47:E49,E53,E55:E56,E62,E71:E72,E75,E79,E83:E84,E94,E97:E98,E111,E115,E121,E124,E132:E133,E144,E148,E161)</f>
        <v>3281</v>
      </c>
      <c r="G192" s="22"/>
      <c r="H192" s="85">
        <f>4045.7</f>
        <v>4045.7</v>
      </c>
      <c r="I192" s="85">
        <v>3281</v>
      </c>
      <c r="J192" s="21"/>
      <c r="K192" s="21"/>
      <c r="L192" s="21"/>
      <c r="M192" s="21"/>
      <c r="N192" s="21"/>
      <c r="O192" s="21"/>
      <c r="P192" s="21"/>
      <c r="Q192" s="21"/>
      <c r="R192" s="21"/>
      <c r="S192" s="21"/>
    </row>
    <row r="193" spans="1:19" ht="20.100000000000001" customHeight="1">
      <c r="A193" s="21"/>
      <c r="B193" s="21"/>
      <c r="C193" s="21"/>
      <c r="D193" t="s">
        <v>122</v>
      </c>
      <c r="E193" s="28">
        <f>AVERAGE(E2,E23,E28,E30,E32,E43,E50,E51,E54,E60,E80,E90,E93,E95,E104,E106,E110,E118,E122,E125,E126,E136,E150,E152,E155,E174,E175,E179,E182)</f>
        <v>3752.2758620689656</v>
      </c>
      <c r="F193" s="28">
        <f>MEDIAN(E2,E23,E28,E30,E32,E43,E50,E51,E54,E60,E80,E90,E93,E95,E104,E106,E110,E118,E122,E125,E126,E136,E150,E152,E155,E174,E175,E179,E182)</f>
        <v>1980</v>
      </c>
      <c r="G193" s="22"/>
      <c r="H193" s="22"/>
      <c r="I193" s="22"/>
      <c r="J193" s="21">
        <v>170</v>
      </c>
      <c r="K193" s="21"/>
      <c r="L193" s="21"/>
      <c r="M193" s="21"/>
      <c r="N193" s="21"/>
      <c r="O193" s="21"/>
      <c r="P193" s="21"/>
      <c r="Q193" s="21"/>
      <c r="R193" s="21"/>
      <c r="S193" s="21"/>
    </row>
    <row r="194" spans="1:19" ht="20.100000000000001" customHeight="1">
      <c r="A194" s="21"/>
      <c r="B194" s="21">
        <v>1124920</v>
      </c>
      <c r="C194" s="21"/>
      <c r="D194" t="s">
        <v>177</v>
      </c>
      <c r="E194" s="28">
        <f>AVERAGE(E8,E12,E13,E15,E29,E35,E40,E45,E57,E63,E64,E70,E77,E81,E82,E96,E100,E103,E113,E120,E134,E135+E140,)</f>
        <v>3432.2608695652175</v>
      </c>
      <c r="F194" s="28">
        <f>MEDIAN(E8,E12,E13,E15,E29,E35,E40,E45,E57,E63,E64,E70,E77,E81,E82,E91,E96,E100,E103,E113,E120,E128,E134,E135,E140,E154,E156,E163)</f>
        <v>1705.5</v>
      </c>
      <c r="G194" s="22"/>
      <c r="H194" s="22"/>
      <c r="I194" s="22"/>
      <c r="J194" s="21"/>
      <c r="K194" s="79">
        <f>SUM(E176,E173,E169,E86,E87,E74,E68,E65,E42,E33)</f>
        <v>102049</v>
      </c>
      <c r="L194" s="21"/>
      <c r="M194" s="21"/>
      <c r="N194" s="21"/>
      <c r="O194" s="21"/>
      <c r="P194" s="21"/>
      <c r="Q194" s="21"/>
      <c r="R194" s="21"/>
      <c r="S194" s="21"/>
    </row>
    <row r="195" spans="1:19" ht="20.100000000000001" customHeight="1">
      <c r="A195" s="21"/>
      <c r="B195" s="21"/>
      <c r="C195" s="21"/>
      <c r="D195" t="s">
        <v>50</v>
      </c>
      <c r="E195" s="28">
        <f>AVERAGE(E14,E24,E34,E41,E67,E69,E92,E102,E105,E114,E116,E117,E131,E137,E142,E147,E159,E177,E180,)</f>
        <v>12619.5</v>
      </c>
      <c r="F195" s="28">
        <f>MEDIAN(E14,E24,E34,E41,E67,E69,E92,E102,E105,E114,E116,E117,E131,E137,E142,E147,E159,E177,E180)</f>
        <v>7201</v>
      </c>
      <c r="G195" s="22"/>
      <c r="H195" s="22"/>
      <c r="I195" s="22"/>
      <c r="J195" s="21"/>
      <c r="K195" s="21"/>
      <c r="L195" s="21"/>
      <c r="M195" s="21"/>
      <c r="N195" s="21"/>
      <c r="O195" s="21"/>
      <c r="P195" s="21"/>
      <c r="Q195" s="21"/>
      <c r="R195" s="21"/>
      <c r="S195" s="21"/>
    </row>
    <row r="196" spans="1:19" ht="20.100000000000001" customHeight="1">
      <c r="A196" s="21"/>
      <c r="B196" s="21"/>
      <c r="C196" s="21"/>
      <c r="D196" t="s">
        <v>178</v>
      </c>
      <c r="E196" s="28">
        <f>AVERAGE(E7,E21,E44,E61,E73,E85,E108,E112,E127,E130)</f>
        <v>9231.5</v>
      </c>
      <c r="F196" s="28">
        <f>MEDIAN(E7,E21,E44,E61,E73,E85,E108,E112,E127,E130)</f>
        <v>6810</v>
      </c>
      <c r="G196" s="22"/>
      <c r="H196" s="22"/>
      <c r="J196" s="21"/>
      <c r="K196" s="21"/>
      <c r="L196" s="21"/>
      <c r="M196" s="21"/>
      <c r="N196" s="21"/>
      <c r="O196" s="21"/>
      <c r="P196" s="21"/>
      <c r="Q196" s="21"/>
      <c r="R196" s="21"/>
      <c r="S196" s="21"/>
    </row>
    <row r="197" spans="1:19" ht="20.100000000000001" customHeight="1">
      <c r="D197" t="s">
        <v>179</v>
      </c>
      <c r="E197" s="29">
        <f>AVERAGE(E33,E42,E65,E68,E74,E86,E87,E169,E173,E176,)</f>
        <v>9277.181818181818</v>
      </c>
      <c r="F197" s="29">
        <f>MEDIAN(E33,E42,E65,E68,E74,E86,E87,E169,E173,E176)</f>
        <v>6306.5</v>
      </c>
    </row>
    <row r="198" spans="1:19" ht="20.100000000000001" customHeight="1">
      <c r="D198" t="s">
        <v>124</v>
      </c>
      <c r="E198" s="29">
        <f>AVERAGE(E4,E5,E9,E31,E76,E78,E107,E119,E141,E145,)</f>
        <v>8620.818181818182</v>
      </c>
      <c r="F198" s="29">
        <f>MEDIAN(E46,E66,E123,E139,E143,E153)</f>
        <v>4187.5</v>
      </c>
    </row>
    <row r="199" spans="1:19" ht="20.100000000000001" customHeight="1">
      <c r="D199" t="s">
        <v>180</v>
      </c>
      <c r="E199" s="29">
        <f>AVERAGE(E46,E123,E139,E143,E153)</f>
        <v>13415.2</v>
      </c>
      <c r="F199" s="30">
        <f>MEDIAN(E46,E123,E139,E143,E153)</f>
        <v>7565</v>
      </c>
    </row>
    <row r="203" spans="1:19" ht="20.100000000000001" customHeight="1">
      <c r="A203" s="21" t="s">
        <v>123</v>
      </c>
      <c r="B203" s="1">
        <f>SUMIFS(E2:E182,F2:F182, "&gt;=100",O2:O182, "Music")</f>
        <v>161828</v>
      </c>
    </row>
    <row r="204" spans="1:19" ht="20.100000000000001" customHeight="1">
      <c r="A204" t="s">
        <v>122</v>
      </c>
      <c r="B204" s="1">
        <f>SUMIFS(E2:E182,F2:F182, "&gt;100",O2:O182, "Publishing")</f>
        <v>104632</v>
      </c>
    </row>
    <row r="205" spans="1:19" ht="20.100000000000001" customHeight="1">
      <c r="A205" t="s">
        <v>177</v>
      </c>
      <c r="B205" s="1">
        <f>SUMIF(F2:F182, "&gt;=100",E2:E182)</f>
        <v>1002353</v>
      </c>
    </row>
    <row r="206" spans="1:19" ht="20.100000000000001" customHeight="1">
      <c r="A206" t="s">
        <v>50</v>
      </c>
    </row>
    <row r="207" spans="1:19" ht="20.100000000000001" customHeight="1">
      <c r="A207" t="s">
        <v>178</v>
      </c>
    </row>
    <row r="208" spans="1:19" ht="20.100000000000001" customHeight="1">
      <c r="A208" t="s">
        <v>179</v>
      </c>
    </row>
    <row r="209" spans="1:3" ht="20.100000000000001" customHeight="1">
      <c r="A209" t="s">
        <v>124</v>
      </c>
    </row>
    <row r="210" spans="1:3" ht="20.100000000000001" customHeight="1">
      <c r="A210" t="s">
        <v>180</v>
      </c>
    </row>
    <row r="211" spans="1:3" ht="20.100000000000001" customHeight="1">
      <c r="C211" s="29">
        <f>SUM(E8,E12,E13,E15,E29,E35,E40,E45,E57,E63,E64,E70,E77,E81,E82,E96,E100,E103,E113,E120,E134,E135,E140,E182,)</f>
        <v>83126</v>
      </c>
    </row>
  </sheetData>
  <phoneticPr fontId="9" type="noConversion"/>
  <hyperlinks>
    <hyperlink ref="A2" r:id="rId1" display="http://www.kickstarter.com/projects/MonsterBook/the-monster-book?ref=card"/>
    <hyperlink ref="A3" r:id="rId2" display="http://www.kickstarter.com/projects/171008359/participate-in-a-great-musical-endeavor-0?ref=card"/>
    <hyperlink ref="A4" r:id="rId3" display="http://www.kickstarter.com/projects/400787346/the-hale-street-gangs-vermont-debut?ref=live"/>
    <hyperlink ref="A5" r:id="rId4" display="http://www.kickstarter.com/projects/redstagetheatre/red-stage-theatre-2010?ref=card"/>
    <hyperlink ref="A6" r:id="rId5" display="http://www.kickstarter.com/projects/1626904184/radio-free-vermont-1st-annual-music-awards-concert?ref=search"/>
    <hyperlink ref="A7" r:id="rId6" display="http://www.kickstarter.com/projects/867206022/from-the-ground-up-0?ref=card"/>
    <hyperlink ref="A8" r:id="rId7" display="http://www.kickstarter.com/projects/dawngraham/camera-on-a-string?ref=card"/>
    <hyperlink ref="A9" r:id="rId8" display="http://www.kickstarter.com/projects/318838987/prove-that-everyone-can-dance-and-feed-the-ape?ref=search"/>
    <hyperlink ref="A10" r:id="rId9" display="http://www.kickstarter.com/projects/908845204/sing-zimbabwe-a-book-and-cd-of-traditional-choral?ref=card"/>
    <hyperlink ref="A11" r:id="rId10" display="http://www.kickstarter.com/projects/justinlevinson/lets-make-a-record-together?ref=card"/>
    <hyperlink ref="A12" r:id="rId11" display="http://www.kickstarter.com/projects/1284053376/things-left-behind-sculptural-installation-residen?ref=search"/>
    <hyperlink ref="A13" r:id="rId12" display="http://www.kickstarter.com/projects/morgancahn/making-art-in-the-spring-what-a-wonderful-thing?ref=search"/>
    <hyperlink ref="A14" r:id="rId13" display="http://www.kickstarter.com/projects/2099602675/me-and-antoine-b-documentary?ref=card"/>
    <hyperlink ref="A15" r:id="rId14" display="http://www.kickstarter.com/projects/wsparks/cut-and-paste-a-whitney-sparks-creation?ref=search"/>
    <hyperlink ref="A16" r:id="rId15" display="http://www.kickstarter.com/projects/488319202/patch-cord-needs-your-help-to-record-their-debut-c?ref=card"/>
    <hyperlink ref="A17" r:id="rId16" display="http://www.kickstarter.com/projects/1852350061/windborne-trio-with-wandring-feet?ref=card"/>
    <hyperlink ref="A18" r:id="rId17" display="http://www.kickstarter.com/projects/2042364209/heloise-and-the-savoir-faire-new-album?ref=card"/>
    <hyperlink ref="A19" r:id="rId18" display="http://www.kickstarter.com/projects/thevacantlots/the-vacant-lots-are-heading-to-sxsw?ref=card"/>
    <hyperlink ref="A20" r:id="rId19" display="http://www.kickstarter.com/projects/dollfight/doll-fight-is-making-their-first-ep?ref=card"/>
    <hyperlink ref="A21" r:id="rId20" display="http://www.kickstarter.com/projects/684592644/sabertooth-bakery-100-vegan-baked-goods-bicycle-ca?ref=search"/>
    <hyperlink ref="A22" r:id="rId21" display="http://www.kickstarter.com/projects/1379801877/small-schools-at-crossroads-in-vermont?ref=search"/>
    <hyperlink ref="A23" r:id="rId22" display="http://www.kickstarter.com/projects/685517644/energy-performance-testing-on-straw-bale-buildings?ref=card"/>
    <hyperlink ref="A24" r:id="rId23" display="http://www.kickstarter.com/projects/natelarson/250-years-250-people-windsor-vermont?ref=search"/>
    <hyperlink ref="A25" r:id="rId24" display="http://www.kickstarter.com/projects/1644616398/vermont-midi-project-opus-22-student-composers?ref=live"/>
    <hyperlink ref="A26" r:id="rId25" display="http://www.kickstarter.com/projects/intotherhine/into-the-rhines-veggie-oil-conversion?ref=search"/>
    <hyperlink ref="A27" r:id="rId26" display="http://www.kickstarter.com/projects/519017465/running-clear-an-album-of-original-music-by-nate-g?ref=search"/>
    <hyperlink ref="A28" r:id="rId27" display="http://www.kickstarter.com/projects/1703429502/equinox-my-first-comic-genre-fantasy?ref=card"/>
    <hyperlink ref="A29" r:id="rId28" display="http://www.kickstarter.com/projects/750568338/a-printmaking-residency-at-vermont-studio-center?ref=search"/>
    <hyperlink ref="A30" r:id="rId29" display="http://www.kickstarter.com/projects/candlemarkandgleam/print-release-of-erekos?ref=card"/>
    <hyperlink ref="A31" r:id="rId30" display="http://www.kickstarter.com/projects/462972179/the-bus-off-broadway-and-westboro-baptist-church?ref=card"/>
    <hyperlink ref="A32" r:id="rId31" display="http://www.kickstarter.com/projects/256905182/janapar-trail-a-journey-through-nagorno-karabakh?ref=card"/>
    <hyperlink ref="A33" r:id="rId32" display="http://www.kickstarter.com/projects/1202983374/patch-notes-the-game?ref=card"/>
    <hyperlink ref="A34" r:id="rId33" display="http://www.kickstarter.com/projects/905754281/my-country-is-the-world-key-to-peace-by-world-citi?ref=card"/>
    <hyperlink ref="A35" r:id="rId34" display="http://www.kickstarter.com/projects/1784149987/the-ramble-a-celebration-of-creativity-and-communi?ref=card"/>
    <hyperlink ref="A36" r:id="rId35" display="http://www.kickstarter.com/projects/1533201199/bearquarium-vinyl-were-going-to-the-moon-with-this?ref=card"/>
    <hyperlink ref="A37" r:id="rId36" display="http://www.kickstarter.com/projects/41980551/song-catching-in-the-motherlands?ref=card"/>
    <hyperlink ref="A38" r:id="rId37" display="http://www.kickstarter.com/projects/joshuapanda/europe-or-bust-tour-and-album?ref=card"/>
    <hyperlink ref="A39" r:id="rId38" display="http://www.kickstarter.com/projects/1524018629/vermont-joy-parades-new-album-0?ref=live"/>
    <hyperlink ref="A40" r:id="rId39" display="http://www.kickstarter.com/projects/1496420787/the-endangered-alphabets-project?ref=search"/>
    <hyperlink ref="A41" r:id="rId40" display="http://www.kickstarter.com/projects/1132273000/vermont-vacation?ref=search"/>
    <hyperlink ref="A42" r:id="rId41" display="http://www.kickstarter.com/projects/464697136/colorquilts-wooden-jigsaw-puzzle?ref=card"/>
    <hyperlink ref="A43" r:id="rId42" display="http://www.kickstarter.com/projects/candlemarkandgleam/print-release-of-revisions-alice?ref=card"/>
    <hyperlink ref="A44" r:id="rId43" display="http://www.kickstarter.com/projects/840980225/growing-rice-in-vermont?ref=search"/>
    <hyperlink ref="A45" r:id="rId44" display="http://www.kickstarter.com/projects/291714758/vermont-studio-center-residency?ref=search"/>
    <hyperlink ref="A46" r:id="rId45" display="http://www.kickstarter.com/projects/meganbaehr/nonsuch-garden-safari-acrylic-charm-set?ref=card"/>
    <hyperlink ref="A47" r:id="rId46" display="http://www.kickstarter.com/projects/1766362025/spitjack-is-recording-a-new-ep?ref=card"/>
    <hyperlink ref="A48" r:id="rId47" display="http://www.kickstarter.com/projects/142993699/happy-jawbone-and-great-valleys-7-christmas-party?ref=card"/>
    <hyperlink ref="A49" r:id="rId48" display="http://www.kickstarter.com/projects/cmmc/craig-mitchell-and-motor-city?ref=card"/>
    <hyperlink ref="A50" r:id="rId49" display="http://www.kickstarter.com/projects/621593254/no-sh-t-the-history-of-wiping?ref=card"/>
    <hyperlink ref="A51" r:id="rId50" display="http://www.kickstarter.com/projects/candlemarkandgleam/print-release-of-pilgrim-of-the-sky?ref=card"/>
    <hyperlink ref="A52" r:id="rId51" display="http://www.kickstarter.com/projects/675539415/andre-soulignys-first-studio-recording-bright-half?ref=search"/>
    <hyperlink ref="A53" r:id="rId52" display="http://www.kickstarter.com/projects/kinkycreature/help-kinky-creature-record-an-ep?ref=card"/>
    <hyperlink ref="A54" r:id="rId53" display="http://www.kickstarter.com/projects/candlemarkandgleam/print-release-of-fly-into-fire?ref=card"/>
    <hyperlink ref="A55" r:id="rId54" display="http://www.kickstarter.com/projects/2114873551/rose-and-los-cohorts-ep-release-featuring-local-fa?ref=card"/>
    <hyperlink ref="A56" r:id="rId55" display="http://www.kickstarter.com/projects/842575673/100-hours-of-free-music-lessons?ref=card"/>
    <hyperlink ref="A57" r:id="rId56" display="http://www.kickstarter.com/projects/1037253806/snow-sculpting-tools-for-team-vermont?ref=search"/>
    <hyperlink ref="A58" r:id="rId57" display="http://www.kickstarter.com/projects/819769147/the-becoming-of-garamike?ref=card"/>
    <hyperlink ref="A59" r:id="rId58" display="http://www.kickstarter.com/projects/rocknail/filabot-plastic-filament-maker?ref=search"/>
    <hyperlink ref="A60" r:id="rId59" display="http://www.kickstarter.com/projects/candlemarkandgleam/print-release-of-matchbox-girls?ref=card"/>
    <hyperlink ref="A61" r:id="rId60" display="http://www.kickstarter.com/projects/878357944/pirogi-union?ref=card"/>
    <hyperlink ref="A62" r:id="rId61" display="http://www.kickstarter.com/projects/johngillette/john-gillette-and-sarah-mittlefehldt-old-field-pin?ref=card"/>
    <hyperlink ref="A63" r:id="rId62" display="http://www.kickstarter.com/projects/409441055/rachel-herzers-artist-residency-at-vermont-studio?ref=search"/>
    <hyperlink ref="A64" r:id="rId63" display="http://www.kickstarter.com/projects/1841934447/functional-poetry?ref=card"/>
    <hyperlink ref="A65" r:id="rId64" display="http://www.kickstarter.com/projects/1628731261/loc-can-you-escape?ref=card"/>
    <hyperlink ref="A66" r:id="rId65" display="http://www.kickstarter.com/projects/1783912996/irie-furniture?ref=search"/>
    <hyperlink ref="A67" r:id="rId66" display="http://www.kickstarter.com/projects/1013891490/bring-free-speech-tv-to-burlington?ref=card"/>
    <hyperlink ref="A68" r:id="rId67" display="http://www.kickstarter.com/projects/1735103142/conquest?ref=card"/>
    <hyperlink ref="A69" r:id="rId68" display="http://www.kickstarter.com/projects/1674889308/a-defiant-dude?ref=live"/>
    <hyperlink ref="A70" r:id="rId69" display="http://www.kickstarter.com/projects/525503046/uncorrupted-smut?ref=card"/>
    <hyperlink ref="A71" r:id="rId70" display="http://www.kickstarter.com/projects/stevehartmann/waking-up-the-echoes?ref=card"/>
    <hyperlink ref="A72" r:id="rId71" display="http://www.kickstarter.com/projects/1690026959/anna-pardeniks-new-album?ref=search"/>
    <hyperlink ref="A73" r:id="rId72" display="http://www.kickstarter.com/projects/hottamaleco/hot-tamale-co-0?ref=card"/>
    <hyperlink ref="A74" r:id="rId73" display="http://www.kickstarter.com/projects/designerdougm/aura-tactics?ref=card"/>
    <hyperlink ref="A75" r:id="rId74" display="http://www.kickstarter.com/projects/1644616398/opus-24-student-composers?ref=search"/>
    <hyperlink ref="A76" r:id="rId75" display="http://www.kickstarter.com/projects/691319382/barnarts-center-for-the-arts?ref=card"/>
    <hyperlink ref="A77" r:id="rId76" display="http://www.kickstarter.com/projects/1916838531/quench-artspace?ref=search"/>
    <hyperlink ref="A78" r:id="rId77" display="http://www.kickstarter.com/projects/480554386/d-generation-an-exaltation-of-larks?ref=card"/>
    <hyperlink ref="A79" r:id="rId78" display="http://www.kickstarter.com/projects/466941960/songfest-project?ref=card"/>
    <hyperlink ref="A80" r:id="rId79" display="http://www.kickstarter.com/projects/candlemarkandgleam/print-release-of-i-crimsonstreak?ref=card"/>
    <hyperlink ref="A81" r:id="rId80" display="http://www.kickstarter.com/projects/262721984/more-space-bigger-paintings-vt-artists-week-2012?ref=card"/>
    <hyperlink ref="A82" r:id="rId81" display="http://www.kickstarter.com/projects/1063252734/the-vermont-studio-center-artist-residency-program?ref=search"/>
    <hyperlink ref="A83" r:id="rId82" display="http://www.kickstarter.com/projects/1305339778/marimba-from-0-8-mallets-cd-and-vinyl-album?ref=card"/>
    <hyperlink ref="A84" r:id="rId83" display="http://www.kickstarter.com/projects/76587438/guerrilla-tour-2012-toni-atari?ref=card"/>
    <hyperlink ref="A85" r:id="rId84" display="http://www.kickstarter.com/projects/sugarmtnfarm/building-a-butcher-shop-on-sugarmountainfarm?ref=search"/>
    <hyperlink ref="A86" r:id="rId85" display="http://www.kickstarter.com/projects/2084358841/grey-the-lost-technology?ref=card"/>
    <hyperlink ref="A87" r:id="rId86" display="http://www.kickstarter.com/projects/464697136/colorquilts-wooden-jigsaw-puzzle-2?ref=card"/>
    <hyperlink ref="A88" r:id="rId87" display="http://www.kickstarter.com/projects/281808955/the-pursuit-a-global-quest-for-happiness?ref=card"/>
    <hyperlink ref="A89" r:id="rId88" display="http://www.kickstarter.com/projects/686834347/barn-again-vermonts-another-button-farm?ref=search"/>
    <hyperlink ref="A90" r:id="rId89" display="http://www.kickstarter.com/projects/180583317/dont-give-the-dog-sugar-with-his-tea?ref=card"/>
    <hyperlink ref="A91" r:id="rId90" display="http://www.kickstarter.com/projects/1523642318/vermont-studio-center-residency-september-2012?ref=search"/>
    <hyperlink ref="A92" r:id="rId91" display="http://www.kickstarter.com/projects/488140546/i-am-in-here-a-film-by-mark-utter?ref=search"/>
    <hyperlink ref="A93" r:id="rId92" display="http://www.kickstarter.com/projects/candlemarkandgleam/print-release-of-a-series-of-ordinary-adventures?ref=card"/>
    <hyperlink ref="A94" r:id="rId93" display="http://www.kickstarter.com/projects/1956618325/help-the-dirty-blondes-sex-the-elastic?ref=card"/>
    <hyperlink ref="A95" r:id="rId94" display="http://www.kickstarter.com/projects/russianlife/groom-vladimirs-mustache?ref=card"/>
    <hyperlink ref="A96" r:id="rId95" display="http://www.kickstarter.com/projects/2114635001/moving-forward-and-coming-home?ref=card"/>
    <hyperlink ref="A97" r:id="rId96" display="http://www.kickstarter.com/projects/1324539190/may-all-be?ref=card"/>
    <hyperlink ref="A98" r:id="rId97" display="http://www.kickstarter.com/projects/1676873707/vedora-debut-album?ref=card"/>
    <hyperlink ref="A99" r:id="rId98" display="http://www.kickstarter.com/projects/932502634/a-better-nut-butter?ref=search"/>
    <hyperlink ref="A100" r:id="rId99" display="http://www.kickstarter.com/projects/1635253256/vermont-studio-residency?ref=search"/>
    <hyperlink ref="A101" r:id="rId100" display="http://www.kickstarter.com/projects/1255777359/bringing-world-renowned-ridiculous-theater-to-verm?ref=search"/>
    <hyperlink ref="A102" r:id="rId101" display="http://www.kickstarter.com/projects/2061392773/1919-to-20-20-rumination-animation?ref=card"/>
    <hyperlink ref="A103" r:id="rId102" display="http://www.kickstarter.com/projects/1159321528/artist-residency-at-the-vermont-studio-center?ref=search"/>
    <hyperlink ref="A104" r:id="rId103" display="http://www.kickstarter.com/projects/candlemarkandgleam/print-release-of-green-light-delivery?ref=card"/>
    <hyperlink ref="A105" r:id="rId104" display="http://www.kickstarter.com/projects/brandonstcyr/the-green-knight?ref=card"/>
    <hyperlink ref="A106" r:id="rId105" display="http://www.kickstarter.com/projects/russianlife/the-silk-road-trilogy?ref=card"/>
    <hyperlink ref="A107" r:id="rId106" display="http://www.kickstarter.com/projects/1820878177/steampunk-inspired-midsummer-nights-dream-in-vermo?ref=search"/>
    <hyperlink ref="A108" r:id="rId107" display="http://www.kickstarter.com/projects/315525878/the-sweet-spot?ref=card"/>
    <hyperlink ref="A109" r:id="rId108" display="http://www.kickstarter.com/projects/prettyflower/raising-awareness-about-drug-addiction-in-vermont?ref=search"/>
    <hyperlink ref="A110" r:id="rId109" display="http://www.kickstarter.com/projects/639815597/life-gives-me-lemons-adventures-in-bad-luck?ref=card"/>
    <hyperlink ref="A111" r:id="rId110" display="http://www.kickstarter.com/projects/1820727099/full-brogue-an-alternative-americana-album-release?ref=card"/>
    <hyperlink ref="A112" r:id="rId111" display="http://www.kickstarter.com/projects/731683241/al-ducci-di-notte-a-neighborhood-trattoria?ref=card"/>
    <hyperlink ref="A113" r:id="rId112" display="http://www.kickstarter.com/projects/sun-boxes/sun-boxes-in-vermont-state-parks?ref=search"/>
    <hyperlink ref="A115" r:id="rId113" display="http://www.kickstarter.com/projects/socialband/vermont-poetry-and-song-project-0?ref=search"/>
    <hyperlink ref="A116" r:id="rId114" display="http://www.kickstarter.com/projects/1813409415/american-swag?ref=search"/>
    <hyperlink ref="A117" r:id="rId115" display="http://www.kickstarter.com/projects/190861612/gorf-the-movie?ref=card"/>
    <hyperlink ref="A118" r:id="rId116" display="http://www.kickstarter.com/projects/candlemarkandgleam/print-release-of-the-spark?ref=card"/>
    <hyperlink ref="A119" r:id="rId117" display="http://www.kickstarter.com/projects/180823641/the-fable-farm-stage?ref=card"/>
    <hyperlink ref="A120" r:id="rId118" display="http://www.kickstarter.com/projects/annasc/body-queeries-a-vermont-studio-center-project?ref=search"/>
    <hyperlink ref="A121" r:id="rId119" display="http://www.kickstarter.com/projects/238604741/matt-townsends-first-record?ref=card"/>
    <hyperlink ref="A122" r:id="rId120" display="http://www.kickstarter.com/projects/candlemarkandgleam/print-release-of-broken?ref=card"/>
    <hyperlink ref="A123" r:id="rId121" display="http://www.kickstarter.com/projects/2049726758/queen-city-dry-goods-waxed-canvas-racer-jacket-lau?ref=search"/>
    <hyperlink ref="A124" r:id="rId122" display="http://www.kickstarter.com/projects/908845204/the-bright-wings-chorus-is-headed-back-to-the-stud?ref=card"/>
    <hyperlink ref="A125" r:id="rId123" display="http://www.kickstarter.com/projects/148238669/breathe-life-into-the-we-love-yoga-childrens-book?ref=card"/>
    <hyperlink ref="A126" r:id="rId124" display="http://www.kickstarter.com/projects/nmeunier/a-how-to-guide-for-freelance-video-game-journalist?ref=card"/>
    <hyperlink ref="A127" r:id="rId125" display="http://www.kickstarter.com/projects/921310485/cheese-wonderland-a-shop-cafe-and-food-education-c?ref=card"/>
    <hyperlink ref="A128" r:id="rId126" display="http://www.kickstarter.com/projects/545345271/new-work-vermont-studio-center-2012?ref=search"/>
    <hyperlink ref="A129" r:id="rId127" display="http://www.kickstarter.com/projects/1189409550/ecce-bronies?ref=search"/>
    <hyperlink ref="A130" r:id="rId128" display="http://www.kickstarter.com/projects/1183568052/the-gleanery?ref=card"/>
    <hyperlink ref="A132" r:id="rId129" display="http://www.kickstarter.com/projects/bessklassenlandis/way-up-in-vermont-my-second-album-is-coming-your-w?ref=search"/>
    <hyperlink ref="A135" r:id="rId130" display="http://www.kickstarter.com/projects/591102302/laurie-trok-artist-residency-at-vermont-studio-cen?ref=search"/>
    <hyperlink ref="A136" r:id="rId131" display="http://www.kickstarter.com/projects/1271362101/deceptivecadence-an-international-thriller-an-unli?ref=card"/>
    <hyperlink ref="A137" r:id="rId132" display="http://www.kickstarter.com/projects/972863974/rescue-the-big-picture-movie-theater?ref=card"/>
    <hyperlink ref="A138" r:id="rId133" display="http://www.kickstarter.com/projects/1960403481/the-drawing-water-project?ref=live"/>
    <hyperlink ref="A139" r:id="rId134" display="http://www.kickstarter.com/projects/2004544589/the-holdster-mason-jar-mug?ref=card"/>
    <hyperlink ref="A140" r:id="rId135" display="http://www.kickstarter.com/projects/1608711300/send-kelly-to-vermont-to-make-incredible-art?ref=search"/>
    <hyperlink ref="A141" r:id="rId136" display="http://www.kickstarter.com/projects/963413484/orkestriskas-box?ref=card"/>
    <hyperlink ref="A142" r:id="rId137" display="http://www.kickstarter.com/projects/1284431733/mfangano-bicycle-documentary?ref=card"/>
    <hyperlink ref="A143" r:id="rId138" display="http://www.kickstarter.com/projects/danielalderriley/3d-print-shops-in-vermont-and-soon-near-you?ref=search"/>
    <hyperlink ref="A144" r:id="rId139" display="http://www.kickstarter.com/projects/2040999564/loveful-heights-cd-release?ref=card"/>
    <hyperlink ref="A145" r:id="rId140" display="http://www.kickstarter.com/projects/1232568261/moreau-horrors?ref=card"/>
    <hyperlink ref="A146" r:id="rId141" display="http://www.kickstarter.com/projects/1324801784/archer-mayors-the-lost-case-files?ref=city"/>
    <hyperlink ref="A147" r:id="rId142" display="http://www.kickstarter.com/projects/802366567/sabra-field-printmaker?ref=search"/>
    <hyperlink ref="A148" r:id="rId143" display="http://www.kickstarter.com/projects/carolinerosemusic/caroline-rose-and-jer-coons-make-a-record?ref=card"/>
    <hyperlink ref="A149" r:id="rId144" display="http://www.kickstarter.com/projects/6559583/tuberville-the-series-0?ref=city"/>
    <hyperlink ref="A150" r:id="rId145" display="http://www.kickstarter.com/projects/1606140550/summit-school-winter-folk-music-festival-2013?ref=city"/>
    <hyperlink ref="A151" r:id="rId146" display="http://www.kickstarter.com/projects/468507363/songs-from-the-vermont-skies?ref=live"/>
    <hyperlink ref="A152" r:id="rId147" display="http://www.kickstarter.com/projects/2006752510/fragile-home-art-looks-at-our-vulnerable-world?ref=city"/>
    <hyperlink ref="A153" r:id="rId148" display="http://www.kickstarter.com/projects/563496605/powderjet-snowboards-do-more-with-less?ref=live"/>
    <hyperlink ref="A154" r:id="rId149" display="http://www.kickstarter.com/projects/1568534846/new-anne-riley-vermont-studio-center?ref=live"/>
    <hyperlink ref="A155" r:id="rId150" display="http://www.kickstarter.com/projects/1069206956/sally-discovers-new-york?ref=home_location"/>
    <hyperlink ref="A156" r:id="rId151" display="http://www.kickstarter.com/projects/277399150/morganne-wakefield-vermont-studio-center-residency?ref=live"/>
    <hyperlink ref="A157" r:id="rId152" display="http://www.kickstarter.com/projects/569079135/voices-of-montpelier?ref=live"/>
    <hyperlink ref="A158" r:id="rId153" display="http://www.kickstarter.com/projects/235672471/cycling-through-depression?ref=home_location"/>
    <hyperlink ref="A159" r:id="rId154" display="http://www.kickstarter.com/projects/66417159/and-after-all?ref=home_location"/>
    <hyperlink ref="A160" r:id="rId155" display="http://www.kickstarter.com/projects/1705472942/a-lifetime-of-vermont-people?ref=live"/>
    <hyperlink ref="A161" r:id="rId156" display="http://www.kickstarter.com/projects/1704319458/hana-kornbluhs-new-album-tatterhood?ref=city"/>
    <hyperlink ref="A162" r:id="rId157" display="http://www.kickstarter.com/projects/72062118/philosophy-of-oneness-essays-substance-and-reflect?ref=home_location"/>
    <hyperlink ref="A163" r:id="rId158" display="http://www.kickstarter.com/projects/wdteagueexhibit/a-granddaughters-response?ref=home_location"/>
    <hyperlink ref="A164" r:id="rId159" display="http://www.kickstarter.com/projects/158664997/liz-lovely-cookies-baking-a-difference?ref=live"/>
    <hyperlink ref="A165" r:id="rId160" display="http://www.kickstarter.com/projects/854509743/dave-keller-goes-to-memphis-to-record-a-modern-sou?ref=home_location"/>
    <hyperlink ref="A166" r:id="rId161" display="http://www.kickstarter.com/projects/382474792/pure-maple-products-lets-work-to-save-maple-produc?ref=city"/>
    <hyperlink ref="A167" r:id="rId162" display="http://www.kickstarter.com/projects/markhaverty/sunrise-0?ref=home_location"/>
    <hyperlink ref="A168" r:id="rId163" display="http://www.kickstarter.com/projects/309813187/the-burlington-writers-workshop-anthology-2013?ref=home_location"/>
    <hyperlink ref="A169" r:id="rId164" display="http://www.kickstarter.com/projects/robotloveskitty/legend-of-dungeon?ref=home_location"/>
    <hyperlink ref="A170" r:id="rId165" display="http://www.kickstarter.com/projects/972374390/flxit-baby?ref=live"/>
    <hyperlink ref="A171" r:id="rId166" display="http://www.kickstarter.com/projects/1357984261/dark-legacy?ref=home_location"/>
    <hyperlink ref="A172" r:id="rId167" display="http://www.kickstarter.com/projects/1633198200/joe-adler-records-debut-studio-album?ref=live"/>
    <hyperlink ref="A178" r:id="rId168" display="http://www.kickstarter.com/projects/1215143917/wyoming-territory-a-new-solo-album-from-kristina-s?ref=home_location"/>
  </hyperlinks>
  <pageMargins left="0.75" right="0.75" top="0.75" bottom="0.5" header="0.25" footer="0.25"/>
  <pageSetup orientation="landscape" useFirstPageNumber="1" horizontalDpi="4294967292" verticalDpi="429496729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J230"/>
  <sheetViews>
    <sheetView workbookViewId="0">
      <selection activeCell="E5" sqref="E5"/>
    </sheetView>
  </sheetViews>
  <sheetFormatPr defaultColWidth="11" defaultRowHeight="14.25"/>
  <cols>
    <col min="1" max="1" width="34.125" bestFit="1" customWidth="1"/>
    <col min="2" max="2" width="15.25" customWidth="1"/>
    <col min="3" max="3" width="18.75" bestFit="1" customWidth="1"/>
    <col min="4" max="4" width="21.125" bestFit="1" customWidth="1"/>
    <col min="5" max="5" width="20.625" bestFit="1" customWidth="1"/>
    <col min="6" max="6" width="18.875" bestFit="1" customWidth="1"/>
    <col min="7" max="7" width="23.75" bestFit="1" customWidth="1"/>
    <col min="8" max="8" width="49.125" bestFit="1" customWidth="1"/>
    <col min="9" max="9" width="15.75" bestFit="1" customWidth="1"/>
  </cols>
  <sheetData>
    <row r="1" spans="1:10" ht="15">
      <c r="A1" s="27" t="s">
        <v>71</v>
      </c>
    </row>
    <row r="3" spans="1:10" ht="15.75" thickBot="1">
      <c r="H3" s="27" t="s">
        <v>16</v>
      </c>
      <c r="I3" s="27" t="s">
        <v>17</v>
      </c>
    </row>
    <row r="4" spans="1:10" ht="15.75" thickBot="1">
      <c r="A4" s="34" t="s">
        <v>121</v>
      </c>
      <c r="B4" s="34" t="s">
        <v>175</v>
      </c>
      <c r="C4" s="34" t="s">
        <v>52</v>
      </c>
      <c r="D4" s="34" t="s">
        <v>181</v>
      </c>
      <c r="E4" s="34" t="s">
        <v>628</v>
      </c>
      <c r="F4" s="37" t="s">
        <v>10</v>
      </c>
      <c r="H4" s="40" t="s">
        <v>123</v>
      </c>
      <c r="I4" s="55">
        <f>#VALUE!</f>
        <v>36.733333333333334</v>
      </c>
    </row>
    <row r="5" spans="1:10">
      <c r="A5" s="40" t="s">
        <v>123</v>
      </c>
      <c r="B5" s="62">
        <f>COUNTIF('Raw Project Data'!O2:O179, "Music")</f>
        <v>46</v>
      </c>
      <c r="C5" s="73">
        <f>SUMIFS('Raw Project Data'!E2:E182,'Raw Project Data'!O2:O182, "Music",'Raw Project Data'!F2:F182, "&gt;99")</f>
        <v>161828</v>
      </c>
      <c r="D5" s="63">
        <f>'Raw Project Data'!E192</f>
        <v>4045.7</v>
      </c>
      <c r="E5" s="63">
        <f>'Raw Project Data'!F192</f>
        <v>3281</v>
      </c>
      <c r="F5" s="64">
        <f>40/45</f>
        <v>0.88888888888888884</v>
      </c>
      <c r="H5" s="41" t="s">
        <v>122</v>
      </c>
      <c r="I5" s="56">
        <f>#VALUE!</f>
        <v>33.878787878787875</v>
      </c>
    </row>
    <row r="6" spans="1:10">
      <c r="A6" s="41" t="s">
        <v>122</v>
      </c>
      <c r="B6" s="65">
        <f>COUNTIF('Raw Project Data'!O2:O179, "Publishing")</f>
        <v>35</v>
      </c>
      <c r="C6" s="74">
        <f>SUMIFS('Raw Project Data'!E2:E182,'Raw Project Data'!F2:F182, "&gt;99",'Raw Project Data'!O2:O182, "Publishing")</f>
        <v>104632</v>
      </c>
      <c r="D6" s="66">
        <f>'Raw Project Data'!E193</f>
        <v>3752.2758620689656</v>
      </c>
      <c r="E6" s="66">
        <f>'Raw Project Data'!F193</f>
        <v>1980</v>
      </c>
      <c r="F6" s="67">
        <f>25/32</f>
        <v>0.78125</v>
      </c>
      <c r="H6" s="41" t="s">
        <v>177</v>
      </c>
      <c r="I6" s="56">
        <f>AVERAGE('Raw Project Data'!K163,'Raw Project Data'!K156,'Raw Project Data'!K154,'Raw Project Data'!K140,'Raw Project Data'!K135,'Raw Project Data'!K134,'Raw Project Data'!K128,'Raw Project Data'!K120,'Raw Project Data'!K113,'Raw Project Data'!K103,'Raw Project Data'!K100,'Raw Project Data'!K96,'Raw Project Data'!K91,'Raw Project Data'!K82,'Raw Project Data'!K81,'Raw Project Data'!K77,'Raw Project Data'!K70,'Raw Project Data'!K64,'Raw Project Data'!K63,'Raw Project Data'!K57,'Raw Project Data'!K45,'Raw Project Data'!K35,'Raw Project Data'!K29,'Raw Project Data'!K15,'Raw Project Data'!K13,'Raw Project Data'!K12,'Raw Project Data'!K8)</f>
        <v>35.111111111111114</v>
      </c>
    </row>
    <row r="7" spans="1:10">
      <c r="A7" s="41" t="s">
        <v>177</v>
      </c>
      <c r="B7" s="65">
        <f>COUNTIF('Raw Project Data'!O2:O179, "Art")</f>
        <v>28</v>
      </c>
      <c r="C7" s="74">
        <f>SUMIFS('Raw Project Data'!E2:E182,'Raw Project Data'!F2:F182, "&gt;99",'Raw Project Data'!O2:O182, "Art")</f>
        <v>83126</v>
      </c>
      <c r="D7" s="66">
        <f>'Raw Project Data'!E194</f>
        <v>3432.2608695652175</v>
      </c>
      <c r="E7" s="66">
        <f>'Raw Project Data'!F194</f>
        <v>1705.5</v>
      </c>
      <c r="F7" s="67">
        <f>23/28</f>
        <v>0.8214285714285714</v>
      </c>
      <c r="H7" s="41" t="s">
        <v>50</v>
      </c>
      <c r="I7" s="56">
        <f>AVERAGE('Raw Project Data'!K14,'Raw Project Data'!K24,'Raw Project Data'!K34,'Raw Project Data'!K41,'Raw Project Data'!K67,'Raw Project Data'!K69,'Raw Project Data'!K88,'Raw Project Data'!K92,'Raw Project Data'!K102,'Raw Project Data'!K105,'Raw Project Data'!K116,'Raw Project Data'!K117,'Raw Project Data'!K129,'Raw Project Data'!K131,,'Raw Project Data'!K138,'Raw Project Data'!K147,'Raw Project Data'!K149,'Raw Project Data'!K171,'Raw Project Data'!K177,'Raw Project Data'!K180)</f>
        <v>29.952380952380953</v>
      </c>
    </row>
    <row r="8" spans="1:10">
      <c r="A8" s="41" t="s">
        <v>50</v>
      </c>
      <c r="B8" s="65">
        <f>COUNTIF('Raw Project Data'!O2:O179, "Film &amp; Television")</f>
        <v>24</v>
      </c>
      <c r="C8" s="74">
        <f>SUMIFS('Raw Project Data'!E2:E182,'Raw Project Data'!F2:F182, "&gt;99",'Raw Project Data'!O2:O182, "Film &amp; Television")</f>
        <v>261861</v>
      </c>
      <c r="D8" s="66">
        <f>'Raw Project Data'!E195</f>
        <v>12619.5</v>
      </c>
      <c r="E8" s="66">
        <f>'Raw Project Data'!F195</f>
        <v>7201</v>
      </c>
      <c r="F8" s="67">
        <f>17/23</f>
        <v>0.73913043478260865</v>
      </c>
      <c r="H8" s="41" t="s">
        <v>178</v>
      </c>
      <c r="I8" s="56">
        <f>AVERAGE('Raw Project Data'!K166,'Raw Project Data'!K164,'Raw Project Data'!K130,'Raw Project Data'!K127,'Raw Project Data'!K112,'Raw Project Data'!K108,'Raw Project Data'!K99,'Raw Project Data'!K89,'Raw Project Data'!K73,'Raw Project Data'!K44,'Raw Project Data'!K21,'Raw Project Data'!K7)</f>
        <v>31.083333333333332</v>
      </c>
    </row>
    <row r="9" spans="1:10">
      <c r="A9" s="41" t="s">
        <v>178</v>
      </c>
      <c r="B9" s="65">
        <f>COUNTIF('Raw Project Data'!O2:O179, "Food")</f>
        <v>14</v>
      </c>
      <c r="C9" s="74">
        <f>SUMIFS('Raw Project Data'!E2:E182,'Raw Project Data'!F2:F182, "&gt;99",'Raw Project Data'!O2:O182, "Food")</f>
        <v>92315</v>
      </c>
      <c r="D9" s="66">
        <f>'Raw Project Data'!E196</f>
        <v>9231.5</v>
      </c>
      <c r="E9" s="66">
        <f>'Raw Project Data'!F196</f>
        <v>6810</v>
      </c>
      <c r="F9" s="67">
        <f>11/14</f>
        <v>0.7857142857142857</v>
      </c>
      <c r="H9" s="41" t="s">
        <v>179</v>
      </c>
      <c r="I9" s="56">
        <f>AVERAGE('Raw Project Data'!K33,'Raw Project Data'!K42,'Raw Project Data'!K65,'Raw Project Data'!K68,'Raw Project Data'!K74,'Raw Project Data'!K86,'Raw Project Data'!K87,'Raw Project Data'!K146,'Raw Project Data'!K169,'Raw Project Data'!K170,'Raw Project Data'!K176,'Raw Project Data'!K176)</f>
        <v>35.666666666666664</v>
      </c>
    </row>
    <row r="10" spans="1:10">
      <c r="A10" s="41" t="s">
        <v>179</v>
      </c>
      <c r="B10" s="65">
        <f>COUNTIF('Raw Project Data'!O2:O179, "Game")</f>
        <v>12</v>
      </c>
      <c r="C10" s="74">
        <f>SUMIFS('Raw Project Data'!E2:E182,'Raw Project Data'!F2:F182, "&gt;99",'Raw Project Data'!O2:O182, "Game")</f>
        <v>102049</v>
      </c>
      <c r="D10" s="66">
        <f>'Raw Project Data'!E197</f>
        <v>9277.181818181818</v>
      </c>
      <c r="E10" s="66">
        <f>'Raw Project Data'!F197</f>
        <v>6306.5</v>
      </c>
      <c r="F10" s="67">
        <f>8/10</f>
        <v>0.8</v>
      </c>
      <c r="H10" s="41" t="s">
        <v>124</v>
      </c>
      <c r="I10" s="42">
        <f>AVERAGE('Raw Project Data'!K145,'Raw Project Data'!K141,'Raw Project Data'!K119,'Raw Project Data'!K107,'Raw Project Data'!K101,'Raw Project Data'!K78,'Raw Project Data'!K76,'Raw Project Data'!K58,'Raw Project Data'!K31,'Raw Project Data'!K9,'Raw Project Data'!K5,'Raw Project Data'!K4)</f>
        <v>35</v>
      </c>
    </row>
    <row r="11" spans="1:10">
      <c r="A11" s="41" t="s">
        <v>124</v>
      </c>
      <c r="B11" s="65">
        <f>COUNTIF('Raw Project Data'!O2:O179, "Performance")</f>
        <v>12</v>
      </c>
      <c r="C11" s="74">
        <f>SUMIFS('Raw Project Data'!E2:E182,'Raw Project Data'!F2:F182, "&gt;99",'Raw Project Data'!O2:O182, "Performance")</f>
        <v>97136</v>
      </c>
      <c r="D11" s="66">
        <f>'Raw Project Data'!E198</f>
        <v>8620.818181818182</v>
      </c>
      <c r="E11" s="66">
        <f>'Raw Project Data'!F198</f>
        <v>4187.5</v>
      </c>
      <c r="F11" s="67">
        <f>11/12</f>
        <v>0.91666666666666663</v>
      </c>
      <c r="H11" s="41" t="s">
        <v>180</v>
      </c>
      <c r="I11" s="56">
        <f>AVERAGE('Raw Project Data'!K46,'Raw Project Data'!K66,'Raw Project Data'!K123,'Raw Project Data'!K139,'Raw Project Data'!K143,'Raw Project Data'!K153)</f>
        <v>24.666666666666668</v>
      </c>
    </row>
    <row r="12" spans="1:10" ht="15.75" thickBot="1">
      <c r="A12" s="43" t="s">
        <v>180</v>
      </c>
      <c r="B12" s="33">
        <f>COUNTIF('Raw Project Data'!O2:O179, "Design")</f>
        <v>6</v>
      </c>
      <c r="C12" s="75">
        <f>SUMIFS('Raw Project Data'!E2:E182,'Raw Project Data'!F2:F182, "&gt;99",'Raw Project Data'!O2:O182, "Design")</f>
        <v>67076</v>
      </c>
      <c r="D12" s="38">
        <f>'Raw Project Data'!E199</f>
        <v>13415.2</v>
      </c>
      <c r="E12" s="38">
        <f>'Raw Project Data'!F199</f>
        <v>7565</v>
      </c>
      <c r="F12" s="68">
        <f>5/6</f>
        <v>0.83333333333333337</v>
      </c>
      <c r="H12" s="57" t="s">
        <v>32</v>
      </c>
      <c r="I12" s="58">
        <f>AVERAGE('Raw Project Data'!K2:K182)</f>
        <v>33.547486033519554</v>
      </c>
    </row>
    <row r="13" spans="1:10" ht="15">
      <c r="A13" s="27" t="s">
        <v>9</v>
      </c>
      <c r="B13" s="27">
        <v>179</v>
      </c>
      <c r="C13" s="77">
        <f>SUM(C5:C12)</f>
        <v>970023</v>
      </c>
      <c r="F13" s="31">
        <f>149/170</f>
        <v>0.87647058823529411</v>
      </c>
      <c r="H13" s="57" t="s">
        <v>28</v>
      </c>
      <c r="I13" s="59">
        <f>MAX('Raw Project Data'!K2:K182)</f>
        <v>90</v>
      </c>
      <c r="J13" t="s">
        <v>29</v>
      </c>
    </row>
    <row r="14" spans="1:10" ht="15.75" thickBot="1">
      <c r="A14" s="27" t="s">
        <v>73</v>
      </c>
      <c r="B14" s="32">
        <f>'Raw Project Data'!B189</f>
        <v>1077048</v>
      </c>
      <c r="C14" s="32"/>
      <c r="H14" s="60" t="s">
        <v>30</v>
      </c>
      <c r="I14" s="61">
        <f>MIN('Raw Project Data'!K2:K182)</f>
        <v>7</v>
      </c>
      <c r="J14" t="s">
        <v>31</v>
      </c>
    </row>
    <row r="15" spans="1:10" ht="15">
      <c r="A15" s="27" t="s">
        <v>72</v>
      </c>
      <c r="B15" s="32">
        <f>'Raw Project Data'!C189</f>
        <v>1172570</v>
      </c>
      <c r="C15" s="32"/>
    </row>
    <row r="17" spans="1:10" ht="15.75" thickBot="1">
      <c r="H17" s="39" t="s">
        <v>11</v>
      </c>
      <c r="I17" s="35" t="s">
        <v>12</v>
      </c>
      <c r="J17" s="27" t="s">
        <v>15</v>
      </c>
    </row>
    <row r="18" spans="1:10" ht="15">
      <c r="A18" s="35" t="s">
        <v>8</v>
      </c>
      <c r="B18" s="35" t="s">
        <v>7</v>
      </c>
      <c r="C18" s="78"/>
      <c r="H18" s="45" t="s">
        <v>146</v>
      </c>
      <c r="I18" s="46">
        <f>COUNTIF('Raw Project Data'!C2:C182, "Burlington")</f>
        <v>67</v>
      </c>
      <c r="J18" s="47">
        <f>62/66</f>
        <v>0.93939393939393945</v>
      </c>
    </row>
    <row r="19" spans="1:10">
      <c r="A19" s="36" t="s">
        <v>37</v>
      </c>
      <c r="B19" s="36">
        <f>COUNTIF('Raw Project Data'!F2:F179, "&lt;=10")</f>
        <v>14</v>
      </c>
      <c r="C19" s="65"/>
      <c r="H19" s="48" t="s">
        <v>592</v>
      </c>
      <c r="I19" s="36">
        <f>COUNTIF('Raw Project Data'!C2:C182, "Bennington")</f>
        <v>14</v>
      </c>
      <c r="J19" s="49">
        <f>12/12</f>
        <v>1</v>
      </c>
    </row>
    <row r="20" spans="1:10">
      <c r="A20" s="36" t="s">
        <v>38</v>
      </c>
      <c r="B20" s="36">
        <f>COUNTIF('Raw Project Data'!F2:F179, "&gt;10")- COUNTIF('Raw Project Data'!F2:F179, "&gt;20")</f>
        <v>5</v>
      </c>
      <c r="C20" s="65"/>
      <c r="H20" s="48" t="s">
        <v>593</v>
      </c>
      <c r="I20" s="36">
        <f>COUNTIF('Raw Project Data'!C2:C182, "Johnson")</f>
        <v>20</v>
      </c>
      <c r="J20" s="49">
        <f>17/20</f>
        <v>0.85</v>
      </c>
    </row>
    <row r="21" spans="1:10">
      <c r="A21" s="36" t="s">
        <v>39</v>
      </c>
      <c r="B21" s="36">
        <f>COUNTIF('Raw Project Data'!F2:F179, "&gt;20")- COUNTIF('Raw Project Data'!F2:F179, "&gt;30")</f>
        <v>2</v>
      </c>
      <c r="C21" s="65"/>
      <c r="H21" s="48" t="s">
        <v>594</v>
      </c>
      <c r="I21" s="36">
        <f>COUNTIF('Raw Project Data'!C2:C182, "Brattleboro")</f>
        <v>12</v>
      </c>
      <c r="J21" s="49">
        <f>10/11</f>
        <v>0.90909090909090906</v>
      </c>
    </row>
    <row r="22" spans="1:10">
      <c r="A22" s="36" t="s">
        <v>40</v>
      </c>
      <c r="B22" s="36">
        <f>COUNTIF('Raw Project Data'!F2:F179, "&gt;30")- COUNTIF('Raw Project Data'!F2:F179, "&gt;40")</f>
        <v>3</v>
      </c>
      <c r="C22" s="65"/>
      <c r="H22" s="48" t="s">
        <v>595</v>
      </c>
      <c r="I22" s="36">
        <f>COUNTIF('Raw Project Data'!C2:C180, "Montpelier")</f>
        <v>14</v>
      </c>
      <c r="J22" s="49">
        <f>9/14</f>
        <v>0.6428571428571429</v>
      </c>
    </row>
    <row r="23" spans="1:10">
      <c r="A23" s="36" t="s">
        <v>41</v>
      </c>
      <c r="B23" s="36">
        <f>COUNTIF('Raw Project Data'!F2:F179, "&gt;40")- COUNTIF('Raw Project Data'!F2:F179, "&gt;50")</f>
        <v>3</v>
      </c>
      <c r="C23" s="65"/>
      <c r="H23" s="48" t="s">
        <v>596</v>
      </c>
      <c r="I23" s="36">
        <f>COUNTIF('Raw Project Data'!C2:C180, "Manchester")</f>
        <v>4</v>
      </c>
      <c r="J23" s="49">
        <v>1</v>
      </c>
    </row>
    <row r="24" spans="1:10">
      <c r="A24" s="36" t="s">
        <v>42</v>
      </c>
      <c r="B24" s="36">
        <f>COUNTIF('Raw Project Data'!F2:F179, "&gt;50")- COUNTIF('Raw Project Data'!F2:F179, "&gt;60")</f>
        <v>2</v>
      </c>
      <c r="C24" s="65"/>
      <c r="H24" s="48" t="s">
        <v>624</v>
      </c>
      <c r="I24" s="36">
        <f>COUNTIF('Raw Project Data'!C2:C180, "Putney")</f>
        <v>5</v>
      </c>
      <c r="J24" s="49">
        <v>1</v>
      </c>
    </row>
    <row r="25" spans="1:10">
      <c r="A25" s="36" t="s">
        <v>74</v>
      </c>
      <c r="B25" s="36">
        <f>COUNTIF('Raw Project Data'!F2:F179, "&gt;60")- COUNTIF('Raw Project Data'!F2:F179, "&gt;70")</f>
        <v>2</v>
      </c>
      <c r="C25" s="65"/>
      <c r="H25" s="48" t="s">
        <v>597</v>
      </c>
      <c r="I25" s="36">
        <f>COUNTIF('Raw Project Data'!C2:C180, "Middlebury")</f>
        <v>3</v>
      </c>
      <c r="J25" s="50" t="s">
        <v>13</v>
      </c>
    </row>
    <row r="26" spans="1:10">
      <c r="A26" s="36" t="s">
        <v>75</v>
      </c>
      <c r="B26" s="36">
        <f>COUNTIF('Raw Project Data'!F2:F179, "&gt;70")- COUNTIF('Raw Project Data'!F2:F179, "&gt;80")</f>
        <v>1</v>
      </c>
      <c r="C26" s="65"/>
      <c r="H26" s="48" t="s">
        <v>598</v>
      </c>
      <c r="I26" s="36">
        <f>COUNTIF('Raw Project Data'!C2:C180, "Waitsfield")</f>
        <v>5</v>
      </c>
      <c r="J26" s="49">
        <f>4/5</f>
        <v>0.8</v>
      </c>
    </row>
    <row r="27" spans="1:10">
      <c r="A27" s="36" t="s">
        <v>76</v>
      </c>
      <c r="B27" s="36">
        <f>COUNTIF('Raw Project Data'!F2:F179, "&gt;80")- COUNTIF('Raw Project Data'!F2:F179, "&gt;90")</f>
        <v>0</v>
      </c>
      <c r="C27" s="65"/>
      <c r="H27" s="48" t="s">
        <v>599</v>
      </c>
      <c r="I27" s="36">
        <f>COUNTIF('Raw Project Data'!C2:C180, "Poultney")</f>
        <v>3</v>
      </c>
      <c r="J27" s="49">
        <v>1</v>
      </c>
    </row>
    <row r="28" spans="1:10">
      <c r="A28" s="36" t="s">
        <v>77</v>
      </c>
      <c r="B28" s="36">
        <f>COUNTIF('Raw Project Data'!F2:F179, "&gt;90")- COUNTIF('Raw Project Data'!F2:F179, "&gt;=100")</f>
        <v>0</v>
      </c>
      <c r="C28" s="65"/>
      <c r="H28" s="51" t="s">
        <v>600</v>
      </c>
      <c r="I28" s="44">
        <f>COUNTIF('Raw Project Data'!C2:C180, "Windsor")</f>
        <v>3</v>
      </c>
      <c r="J28" s="49">
        <v>1</v>
      </c>
    </row>
    <row r="29" spans="1:10" ht="15" thickBot="1">
      <c r="A29" s="36" t="s">
        <v>78</v>
      </c>
      <c r="B29" s="36">
        <f>COUNTIF('Raw Project Data'!F2:F179, "&gt;=100")- COUNTIF('Raw Project Data'!F2:F179, "&gt;110")</f>
        <v>60</v>
      </c>
      <c r="C29" s="65"/>
      <c r="H29" s="52" t="s">
        <v>14</v>
      </c>
      <c r="I29" s="53">
        <v>29</v>
      </c>
      <c r="J29" s="54">
        <f>15/29</f>
        <v>0.51724137931034486</v>
      </c>
    </row>
    <row r="30" spans="1:10">
      <c r="A30" s="36" t="s">
        <v>79</v>
      </c>
      <c r="B30" s="36">
        <f>COUNTIF('Raw Project Data'!F2:F179, "&gt;110")- COUNTIF('Raw Project Data'!F2:F179, "&gt;120")</f>
        <v>22</v>
      </c>
      <c r="C30" s="65"/>
    </row>
    <row r="31" spans="1:10">
      <c r="A31" s="36" t="s">
        <v>80</v>
      </c>
      <c r="B31" s="36">
        <f>COUNTIF('Raw Project Data'!F2:F179, "&gt;120")- COUNTIF('Raw Project Data'!F2:F179, "&gt;130")</f>
        <v>17</v>
      </c>
      <c r="C31" s="65"/>
    </row>
    <row r="32" spans="1:10" ht="15.75" thickBot="1">
      <c r="A32" s="36" t="s">
        <v>81</v>
      </c>
      <c r="B32" s="36">
        <f>COUNTIF('Raw Project Data'!F2:F179, "&gt;130")- COUNTIF('Raw Project Data'!F2:F179, "&gt;140")</f>
        <v>8</v>
      </c>
      <c r="C32" s="65"/>
      <c r="H32" s="27" t="s">
        <v>20</v>
      </c>
    </row>
    <row r="33" spans="1:9">
      <c r="A33" s="36" t="s">
        <v>82</v>
      </c>
      <c r="B33" s="36">
        <f>COUNTIF('Raw Project Data'!F2:F179, "&gt;140")- COUNTIF('Raw Project Data'!F2:F179, "&gt;150")</f>
        <v>7</v>
      </c>
      <c r="C33" s="65"/>
      <c r="H33" s="40" t="s">
        <v>18</v>
      </c>
      <c r="I33" s="69">
        <f>CORREL(D53:D230,A53:A230)</f>
        <v>-3.6967011177619628E-2</v>
      </c>
    </row>
    <row r="34" spans="1:9" ht="15" thickBot="1">
      <c r="A34" s="36" t="s">
        <v>83</v>
      </c>
      <c r="B34" s="36">
        <f>COUNTIF('Raw Project Data'!F2:F179, "&gt;150")- COUNTIF('Raw Project Data'!F2:F179, "&gt;160")</f>
        <v>8</v>
      </c>
      <c r="C34" s="65"/>
      <c r="H34" s="43" t="s">
        <v>19</v>
      </c>
      <c r="I34" s="70">
        <f>CORREL(A53:A223,B53:B223)</f>
        <v>1.9980561165178351E-2</v>
      </c>
    </row>
    <row r="35" spans="1:9" ht="14.1" customHeight="1">
      <c r="A35" s="36" t="s">
        <v>84</v>
      </c>
      <c r="B35" s="36">
        <f>COUNTIF('Raw Project Data'!F2:F179, "&gt;160")- COUNTIF('Raw Project Data'!F2:F179, "&gt;170")</f>
        <v>2</v>
      </c>
      <c r="C35" s="65"/>
    </row>
    <row r="36" spans="1:9">
      <c r="A36" s="36" t="s">
        <v>85</v>
      </c>
      <c r="B36" s="36">
        <f>COUNTIF('Raw Project Data'!F2:F179, "&gt;170")- COUNTIF('Raw Project Data'!F2:F179, "&gt;180")</f>
        <v>3</v>
      </c>
      <c r="C36" s="65"/>
    </row>
    <row r="37" spans="1:9" ht="15">
      <c r="A37" s="36" t="s">
        <v>86</v>
      </c>
      <c r="B37" s="36">
        <f>COUNTIF('Raw Project Data'!F2:F179, "&gt;180")- COUNTIF('Raw Project Data'!F2:F179, "&gt;190")</f>
        <v>1</v>
      </c>
      <c r="C37" s="65"/>
      <c r="H37" s="27" t="s">
        <v>70</v>
      </c>
    </row>
    <row r="38" spans="1:9" ht="15.75" thickBot="1">
      <c r="A38" s="36" t="s">
        <v>87</v>
      </c>
      <c r="B38" s="36">
        <f>COUNTIF('Raw Project Data'!F2:F179, "&gt;190")- COUNTIF('Raw Project Data'!F2:F179, "&gt;200")</f>
        <v>0</v>
      </c>
      <c r="C38" s="65"/>
      <c r="H38" s="34" t="s">
        <v>69</v>
      </c>
      <c r="I38" s="34"/>
    </row>
    <row r="39" spans="1:9">
      <c r="A39" s="36" t="s">
        <v>88</v>
      </c>
      <c r="B39" s="36">
        <f>COUNTIF('Raw Project Data'!F2:F179, "&gt;200")- COUNTIF('Raw Project Data'!F2:F179, "&gt;210")</f>
        <v>1</v>
      </c>
      <c r="C39" s="65"/>
      <c r="H39">
        <f>COUNTIFS('Raw Project Data'!C2:C182,"Bennington", 'Raw Project Data'!O2:O182,"Publishing")</f>
        <v>13</v>
      </c>
      <c r="I39" s="65" t="s">
        <v>592</v>
      </c>
    </row>
    <row r="40" spans="1:9">
      <c r="A40" s="36" t="s">
        <v>89</v>
      </c>
      <c r="B40" s="36">
        <f>COUNTIF('Raw Project Data'!F2:F179, "&gt;210")- COUNTIF('Raw Project Data'!F2:F179, "&gt;220")</f>
        <v>0</v>
      </c>
      <c r="C40" s="65"/>
      <c r="H40">
        <v>5</v>
      </c>
      <c r="I40" s="65" t="s">
        <v>146</v>
      </c>
    </row>
    <row r="41" spans="1:9">
      <c r="A41" s="36" t="s">
        <v>90</v>
      </c>
      <c r="B41" s="36">
        <f>COUNTIF('Raw Project Data'!F2:F179, "&gt;220")- COUNTIF('Raw Project Data'!F2:F179, "&gt;230")</f>
        <v>1</v>
      </c>
      <c r="C41" s="65"/>
      <c r="H41">
        <f>COUNTIFS('Raw Project Data'!C2:C182,"Brattleboro", 'Raw Project Data'!O2:O182,"Publishing")</f>
        <v>3</v>
      </c>
      <c r="I41" s="65" t="s">
        <v>594</v>
      </c>
    </row>
    <row r="42" spans="1:9">
      <c r="A42" s="36" t="s">
        <v>91</v>
      </c>
      <c r="B42" s="36">
        <f>COUNTIF('Raw Project Data'!F2:F179, "&gt;230")- COUNTIF('Raw Project Data'!F2:F179, "&gt;240")</f>
        <v>3</v>
      </c>
      <c r="C42" s="65"/>
      <c r="H42">
        <f>COUNTIFS('Raw Project Data'!C2:C182,"Montpelier", 'Raw Project Data'!O2:O182,"Publishing")</f>
        <v>6</v>
      </c>
      <c r="I42" s="65" t="s">
        <v>595</v>
      </c>
    </row>
    <row r="43" spans="1:9">
      <c r="A43" s="36" t="s">
        <v>0</v>
      </c>
      <c r="B43" s="36">
        <f>COUNTIF('Raw Project Data'!F2:F179, "&gt;240")- COUNTIF('Raw Project Data'!F2:F179, "&gt;250")</f>
        <v>1</v>
      </c>
      <c r="C43" s="65"/>
      <c r="H43">
        <f>COUNTIFS('Raw Project Data'!C2:C182,"Windsor", 'Raw Project Data'!O2:O182,"Publishing")</f>
        <v>1</v>
      </c>
      <c r="I43" s="65" t="s">
        <v>600</v>
      </c>
    </row>
    <row r="44" spans="1:9">
      <c r="A44" s="36" t="s">
        <v>1</v>
      </c>
      <c r="B44" s="36">
        <f>COUNTIF('Raw Project Data'!F2:F179, "&gt;250")- COUNTIF('Raw Project Data'!F2:F179, "&gt;260")</f>
        <v>1</v>
      </c>
      <c r="C44" s="65"/>
      <c r="H44">
        <f>COUNTIFS('Raw Project Data'!C2:C182,"Manchester", 'Raw Project Data'!O2:O182,"Publishing")</f>
        <v>2</v>
      </c>
      <c r="I44" s="80" t="s">
        <v>56</v>
      </c>
    </row>
    <row r="45" spans="1:9">
      <c r="A45" s="36" t="s">
        <v>2</v>
      </c>
      <c r="B45" s="36">
        <f>COUNTIF('Raw Project Data'!F2:F179, "&gt;260")- COUNTIF('Raw Project Data'!F2:F179, "&gt;270")</f>
        <v>0</v>
      </c>
      <c r="C45" s="65"/>
      <c r="H45">
        <v>1</v>
      </c>
      <c r="I45" s="80" t="s">
        <v>57</v>
      </c>
    </row>
    <row r="46" spans="1:9">
      <c r="A46" s="36" t="s">
        <v>3</v>
      </c>
      <c r="B46" s="36">
        <f>COUNTIF('Raw Project Data'!F2:F179, "&gt;270")- COUNTIF('Raw Project Data'!F2:F179, "&gt;280")</f>
        <v>1</v>
      </c>
      <c r="C46" s="65"/>
      <c r="H46">
        <v>1</v>
      </c>
      <c r="I46" s="80" t="s">
        <v>58</v>
      </c>
    </row>
    <row r="47" spans="1:9">
      <c r="A47" s="36" t="s">
        <v>4</v>
      </c>
      <c r="B47" s="36">
        <f>COUNTIF('Raw Project Data'!F2:F179, "&gt;280")- COUNTIF('Raw Project Data'!F2:F179, "&gt;290")</f>
        <v>1</v>
      </c>
      <c r="C47" s="65"/>
      <c r="H47">
        <v>1</v>
      </c>
      <c r="I47" s="80" t="s">
        <v>59</v>
      </c>
    </row>
    <row r="48" spans="1:9">
      <c r="A48" s="36" t="s">
        <v>5</v>
      </c>
      <c r="B48" s="36">
        <f>COUNTIF('Raw Project Data'!F2:F179, "&gt;290")- COUNTIF('Raw Project Data'!F2:F179, "&gt;300")</f>
        <v>1</v>
      </c>
      <c r="C48" s="65"/>
      <c r="H48">
        <v>1</v>
      </c>
      <c r="I48" s="80" t="s">
        <v>646</v>
      </c>
    </row>
    <row r="49" spans="1:9" ht="15.75" thickBot="1">
      <c r="A49" s="36" t="s">
        <v>6</v>
      </c>
      <c r="B49" s="36">
        <f>COUNTIF('Raw Project Data'!F2:F179, "&gt;=300")</f>
        <v>8</v>
      </c>
      <c r="C49" s="65"/>
      <c r="H49" s="34" t="s">
        <v>68</v>
      </c>
      <c r="I49" s="33"/>
    </row>
    <row r="50" spans="1:9">
      <c r="H50" s="65">
        <f>COUNTIFS('Raw Project Data'!C2:C182,"Burlington", 'Raw Project Data'!O2:O182,"Design")</f>
        <v>2</v>
      </c>
      <c r="I50" s="65" t="s">
        <v>146</v>
      </c>
    </row>
    <row r="51" spans="1:9">
      <c r="H51" s="65">
        <f>COUNTIFS('Raw Project Data'!C2:C182,"Brattleboro", 'Raw Project Data'!O2:O182,"Design")</f>
        <v>1</v>
      </c>
      <c r="I51" s="65" t="s">
        <v>594</v>
      </c>
    </row>
    <row r="52" spans="1:9">
      <c r="A52" s="2" t="s">
        <v>546</v>
      </c>
      <c r="B52" t="s">
        <v>590</v>
      </c>
      <c r="H52" s="65">
        <f>COUNTIFS('Raw Project Data'!C2:C182,"Poultney", 'Raw Project Data'!O2:O182,"Design")</f>
        <v>1</v>
      </c>
      <c r="I52" s="65" t="s">
        <v>599</v>
      </c>
    </row>
    <row r="53" spans="1:9">
      <c r="A53" s="8">
        <v>107</v>
      </c>
      <c r="B53" s="8">
        <v>31</v>
      </c>
      <c r="C53" s="71"/>
      <c r="D53">
        <f>'Raw Project Data'!K2</f>
        <v>79</v>
      </c>
      <c r="H53">
        <v>1</v>
      </c>
      <c r="I53" s="80" t="s">
        <v>54</v>
      </c>
    </row>
    <row r="54" spans="1:9">
      <c r="A54" s="8">
        <v>111</v>
      </c>
      <c r="B54" s="8">
        <v>0</v>
      </c>
      <c r="C54" s="71"/>
      <c r="D54">
        <f>'Raw Project Data'!K3</f>
        <v>55</v>
      </c>
      <c r="H54" s="65">
        <v>1</v>
      </c>
      <c r="I54" s="80" t="s">
        <v>55</v>
      </c>
    </row>
    <row r="55" spans="1:9" ht="15.75" thickBot="1">
      <c r="A55" s="8">
        <v>100</v>
      </c>
      <c r="B55" s="8">
        <v>41</v>
      </c>
      <c r="C55" s="71"/>
      <c r="D55">
        <f>'Raw Project Data'!K4</f>
        <v>29</v>
      </c>
      <c r="H55" s="34" t="s">
        <v>179</v>
      </c>
      <c r="I55" s="34"/>
    </row>
    <row r="56" spans="1:9">
      <c r="A56" s="8">
        <v>103</v>
      </c>
      <c r="B56" s="8">
        <v>16</v>
      </c>
      <c r="C56" s="71"/>
      <c r="D56">
        <f>'Raw Project Data'!K5</f>
        <v>57</v>
      </c>
      <c r="H56" s="65">
        <f>COUNTIFS('Raw Project Data'!C2:C182,"Burlington", 'Raw Project Data'!O2:O182,"Game")</f>
        <v>7</v>
      </c>
      <c r="I56" s="65" t="s">
        <v>146</v>
      </c>
    </row>
    <row r="57" spans="1:9">
      <c r="A57" s="8">
        <v>4</v>
      </c>
      <c r="B57" s="8">
        <v>61</v>
      </c>
      <c r="C57" s="71"/>
      <c r="D57">
        <f>'Raw Project Data'!K6</f>
        <v>45</v>
      </c>
      <c r="H57">
        <f>COUNTIFS('Raw Project Data'!C2:C182,"Putney", 'Raw Project Data'!O2:O182,"Game")</f>
        <v>3</v>
      </c>
      <c r="I57" s="65" t="s">
        <v>624</v>
      </c>
    </row>
    <row r="58" spans="1:9">
      <c r="A58" s="8">
        <v>100</v>
      </c>
      <c r="B58" s="8">
        <v>34</v>
      </c>
      <c r="C58" s="71"/>
      <c r="D58">
        <f>'Raw Project Data'!K7</f>
        <v>45</v>
      </c>
      <c r="H58" s="65">
        <v>1</v>
      </c>
      <c r="I58" s="80" t="s">
        <v>60</v>
      </c>
    </row>
    <row r="59" spans="1:9">
      <c r="A59" s="8">
        <v>116</v>
      </c>
      <c r="B59" s="8">
        <v>85</v>
      </c>
      <c r="C59" s="71"/>
      <c r="D59">
        <f>'Raw Project Data'!K8</f>
        <v>45</v>
      </c>
      <c r="H59" s="65">
        <v>1</v>
      </c>
      <c r="I59" s="80" t="s">
        <v>61</v>
      </c>
    </row>
    <row r="60" spans="1:9">
      <c r="A60" s="8">
        <v>110</v>
      </c>
      <c r="B60" s="8">
        <v>104</v>
      </c>
      <c r="C60" s="71"/>
      <c r="D60">
        <f>'Raw Project Data'!K9</f>
        <v>30</v>
      </c>
      <c r="H60" s="65"/>
      <c r="I60" s="65"/>
    </row>
    <row r="61" spans="1:9" ht="15.75" thickBot="1">
      <c r="A61" s="8">
        <v>115</v>
      </c>
      <c r="B61" s="8">
        <v>42</v>
      </c>
      <c r="C61" s="71"/>
      <c r="D61">
        <f>'Raw Project Data'!K10</f>
        <v>32</v>
      </c>
      <c r="H61" s="34" t="s">
        <v>67</v>
      </c>
      <c r="I61" s="33"/>
    </row>
    <row r="62" spans="1:9">
      <c r="A62" s="8">
        <v>100</v>
      </c>
      <c r="B62" s="8">
        <v>140</v>
      </c>
      <c r="C62" s="71"/>
      <c r="D62">
        <f>'Raw Project Data'!K11</f>
        <v>80</v>
      </c>
      <c r="H62" s="65">
        <f>COUNTIFS('Raw Project Data'!C2:C182,"Burlington", 'Raw Project Data'!O2:O182,"Food")</f>
        <v>3</v>
      </c>
      <c r="I62" s="65" t="s">
        <v>146</v>
      </c>
    </row>
    <row r="63" spans="1:9">
      <c r="A63" s="8">
        <v>128</v>
      </c>
      <c r="B63" s="8">
        <v>59</v>
      </c>
      <c r="C63" s="71"/>
      <c r="D63">
        <f>'Raw Project Data'!K12</f>
        <v>55</v>
      </c>
      <c r="H63" s="65">
        <f>COUNTIFS('Raw Project Data'!C2:C182,"Johnson", 'Raw Project Data'!O2:O182,"Food")</f>
        <v>1</v>
      </c>
      <c r="I63" s="65" t="s">
        <v>593</v>
      </c>
    </row>
    <row r="64" spans="1:9">
      <c r="A64" s="8">
        <v>125</v>
      </c>
      <c r="B64" s="8">
        <v>83</v>
      </c>
      <c r="C64" s="71"/>
      <c r="D64">
        <f>'Raw Project Data'!K13</f>
        <v>45</v>
      </c>
      <c r="H64" s="65">
        <f>COUNTIFS('Raw Project Data'!C2:C182,"Brattleboro", 'Raw Project Data'!O2:O182,"Food")</f>
        <v>1</v>
      </c>
      <c r="I64" s="65" t="s">
        <v>594</v>
      </c>
    </row>
    <row r="65" spans="1:9">
      <c r="A65" s="8">
        <v>112</v>
      </c>
      <c r="B65" s="8">
        <v>96</v>
      </c>
      <c r="C65" s="71"/>
      <c r="D65">
        <f>'Raw Project Data'!K14</f>
        <v>30</v>
      </c>
      <c r="H65">
        <f>COUNTIFS('Raw Project Data'!C2:C182,"Putney", 'Raw Project Data'!O2:O182,"Food")</f>
        <v>1</v>
      </c>
      <c r="I65" s="65" t="s">
        <v>624</v>
      </c>
    </row>
    <row r="66" spans="1:9">
      <c r="A66" s="8">
        <v>153</v>
      </c>
      <c r="B66" s="8">
        <v>33</v>
      </c>
      <c r="C66" s="71"/>
      <c r="D66">
        <f>'Raw Project Data'!K15</f>
        <v>32</v>
      </c>
      <c r="H66">
        <f>COUNTIFS('Raw Project Data'!C2:C182,"Waitsfield", 'Raw Project Data'!O2:O182,"Food")</f>
        <v>3</v>
      </c>
      <c r="I66" s="65" t="s">
        <v>598</v>
      </c>
    </row>
    <row r="67" spans="1:9">
      <c r="A67" s="8">
        <v>100</v>
      </c>
      <c r="B67" s="8">
        <v>146</v>
      </c>
      <c r="C67" s="71"/>
      <c r="D67">
        <f>'Raw Project Data'!K16</f>
        <v>30</v>
      </c>
      <c r="H67">
        <v>1</v>
      </c>
      <c r="I67" s="80" t="s">
        <v>62</v>
      </c>
    </row>
    <row r="68" spans="1:9">
      <c r="A68" s="8">
        <v>179</v>
      </c>
      <c r="B68" s="8">
        <v>52</v>
      </c>
      <c r="C68" s="71"/>
      <c r="D68">
        <f>'Raw Project Data'!K17</f>
        <v>22</v>
      </c>
      <c r="H68">
        <v>1</v>
      </c>
      <c r="I68" s="80" t="s">
        <v>63</v>
      </c>
    </row>
    <row r="69" spans="1:9">
      <c r="A69" s="8">
        <v>107</v>
      </c>
      <c r="B69" s="8">
        <v>281</v>
      </c>
      <c r="C69" s="71"/>
      <c r="D69">
        <f>'Raw Project Data'!K18</f>
        <v>59</v>
      </c>
      <c r="H69">
        <v>1</v>
      </c>
      <c r="I69" s="80" t="s">
        <v>64</v>
      </c>
    </row>
    <row r="70" spans="1:9">
      <c r="A70" s="8">
        <v>134</v>
      </c>
      <c r="B70" s="8">
        <v>249</v>
      </c>
      <c r="C70" s="71"/>
      <c r="D70">
        <f>'Raw Project Data'!K19</f>
        <v>41</v>
      </c>
      <c r="H70">
        <v>1</v>
      </c>
      <c r="I70" s="80" t="s">
        <v>65</v>
      </c>
    </row>
    <row r="71" spans="1:9">
      <c r="A71" s="8">
        <v>105</v>
      </c>
      <c r="B71" s="8">
        <v>64</v>
      </c>
      <c r="C71" s="71"/>
      <c r="D71">
        <f>'Raw Project Data'!K20</f>
        <v>30</v>
      </c>
      <c r="H71">
        <v>1</v>
      </c>
      <c r="I71" s="80" t="s">
        <v>66</v>
      </c>
    </row>
    <row r="72" spans="1:9">
      <c r="A72" s="8">
        <v>113</v>
      </c>
      <c r="B72" s="8">
        <v>320</v>
      </c>
      <c r="C72" s="71"/>
      <c r="D72">
        <f>'Raw Project Data'!K21</f>
        <v>30</v>
      </c>
      <c r="I72" s="65"/>
    </row>
    <row r="73" spans="1:9">
      <c r="A73" s="8">
        <v>35</v>
      </c>
      <c r="B73" s="8">
        <v>20</v>
      </c>
      <c r="C73" s="71"/>
      <c r="D73">
        <f>'Raw Project Data'!K22</f>
        <v>15</v>
      </c>
    </row>
    <row r="74" spans="1:9">
      <c r="A74" s="8">
        <v>282</v>
      </c>
      <c r="B74" s="8">
        <v>156</v>
      </c>
      <c r="C74" s="71"/>
      <c r="D74">
        <f>'Raw Project Data'!K23</f>
        <v>31</v>
      </c>
    </row>
    <row r="75" spans="1:9">
      <c r="A75" s="8">
        <v>106</v>
      </c>
      <c r="B75" s="8">
        <v>1169</v>
      </c>
      <c r="C75" s="71"/>
      <c r="D75">
        <f>'Raw Project Data'!K24</f>
        <v>30</v>
      </c>
    </row>
    <row r="76" spans="1:9">
      <c r="A76" s="8">
        <v>112</v>
      </c>
      <c r="B76" s="8">
        <v>259</v>
      </c>
      <c r="C76" s="71"/>
      <c r="D76">
        <f>'Raw Project Data'!K25</f>
        <v>20</v>
      </c>
    </row>
    <row r="77" spans="1:9">
      <c r="A77" s="8">
        <v>100</v>
      </c>
      <c r="B77" s="8">
        <v>114</v>
      </c>
      <c r="C77" s="71"/>
      <c r="D77">
        <f>'Raw Project Data'!K26</f>
        <v>44</v>
      </c>
    </row>
    <row r="78" spans="1:9">
      <c r="A78" s="8">
        <v>101</v>
      </c>
      <c r="B78" s="8">
        <v>82</v>
      </c>
      <c r="C78" s="71"/>
      <c r="D78">
        <f>'Raw Project Data'!K27</f>
        <v>30</v>
      </c>
    </row>
    <row r="79" spans="1:9">
      <c r="A79" s="8">
        <v>116</v>
      </c>
      <c r="B79" s="8">
        <v>407</v>
      </c>
      <c r="C79" s="71"/>
      <c r="D79">
        <f>'Raw Project Data'!K28</f>
        <v>42</v>
      </c>
    </row>
    <row r="80" spans="1:9">
      <c r="A80" s="8">
        <v>154</v>
      </c>
      <c r="B80" s="8">
        <v>43</v>
      </c>
      <c r="C80" s="71"/>
      <c r="D80">
        <f>'Raw Project Data'!K29</f>
        <v>30</v>
      </c>
    </row>
    <row r="81" spans="1:4">
      <c r="A81" s="8">
        <v>125</v>
      </c>
      <c r="B81" s="8">
        <v>23</v>
      </c>
      <c r="C81" s="71"/>
      <c r="D81">
        <f>'Raw Project Data'!K30</f>
        <v>90</v>
      </c>
    </row>
    <row r="82" spans="1:4">
      <c r="A82" s="8">
        <v>100</v>
      </c>
      <c r="B82" s="8">
        <v>2684</v>
      </c>
      <c r="C82" s="71"/>
      <c r="D82">
        <f>'Raw Project Data'!K31</f>
        <v>53</v>
      </c>
    </row>
    <row r="83" spans="1:4">
      <c r="A83" s="8">
        <v>110</v>
      </c>
      <c r="B83" s="8">
        <v>257</v>
      </c>
      <c r="C83" s="71"/>
      <c r="D83">
        <f>'Raw Project Data'!K32</f>
        <v>30</v>
      </c>
    </row>
    <row r="84" spans="1:4">
      <c r="A84" s="8">
        <v>121</v>
      </c>
      <c r="B84" s="8">
        <v>428</v>
      </c>
      <c r="C84" s="71"/>
      <c r="D84">
        <f>'Raw Project Data'!K33</f>
        <v>30</v>
      </c>
    </row>
    <row r="85" spans="1:4">
      <c r="A85" s="8">
        <v>103</v>
      </c>
      <c r="B85" s="8">
        <v>205</v>
      </c>
      <c r="C85" s="71"/>
      <c r="D85">
        <f>'Raw Project Data'!K34</f>
        <v>40</v>
      </c>
    </row>
    <row r="86" spans="1:4">
      <c r="A86" s="8">
        <v>101</v>
      </c>
      <c r="B86" s="8">
        <v>158</v>
      </c>
      <c r="C86" s="71"/>
      <c r="D86">
        <f>'Raw Project Data'!K35</f>
        <v>30</v>
      </c>
    </row>
    <row r="87" spans="1:4">
      <c r="A87" s="8">
        <v>131</v>
      </c>
      <c r="B87" s="8">
        <v>140</v>
      </c>
      <c r="C87" s="71"/>
      <c r="D87">
        <f>'Raw Project Data'!K36</f>
        <v>30</v>
      </c>
    </row>
    <row r="88" spans="1:4">
      <c r="A88" s="8">
        <v>132</v>
      </c>
      <c r="B88" s="8">
        <v>75</v>
      </c>
      <c r="C88" s="71"/>
      <c r="D88">
        <f>'Raw Project Data'!K37</f>
        <v>30</v>
      </c>
    </row>
    <row r="89" spans="1:4">
      <c r="A89" s="8">
        <v>107</v>
      </c>
      <c r="B89" s="8">
        <v>245</v>
      </c>
      <c r="C89" s="71"/>
      <c r="D89">
        <f>'Raw Project Data'!K38</f>
        <v>40</v>
      </c>
    </row>
    <row r="90" spans="1:4">
      <c r="A90" s="8">
        <v>107</v>
      </c>
      <c r="B90" s="8">
        <v>199</v>
      </c>
      <c r="C90" s="71"/>
      <c r="D90">
        <f>'Raw Project Data'!K39</f>
        <v>40</v>
      </c>
    </row>
    <row r="91" spans="1:4">
      <c r="A91" s="8">
        <v>298</v>
      </c>
      <c r="B91" s="8">
        <v>830</v>
      </c>
      <c r="C91" s="71"/>
      <c r="D91">
        <f>'Raw Project Data'!K40</f>
        <v>30</v>
      </c>
    </row>
    <row r="92" spans="1:4">
      <c r="A92" s="8">
        <v>8</v>
      </c>
      <c r="B92" s="8">
        <v>92</v>
      </c>
      <c r="C92" s="71"/>
      <c r="D92">
        <f>'Raw Project Data'!K41</f>
        <v>30</v>
      </c>
    </row>
    <row r="93" spans="1:4">
      <c r="A93" s="8">
        <v>180</v>
      </c>
      <c r="B93" s="8">
        <v>115</v>
      </c>
      <c r="C93" s="71"/>
      <c r="D93">
        <f>'Raw Project Data'!K42</f>
        <v>30</v>
      </c>
    </row>
    <row r="94" spans="1:4">
      <c r="A94" s="8">
        <v>453</v>
      </c>
      <c r="B94" s="8">
        <v>44</v>
      </c>
      <c r="C94" s="71"/>
      <c r="D94">
        <f>'Raw Project Data'!K43</f>
        <v>35</v>
      </c>
    </row>
    <row r="95" spans="1:4">
      <c r="A95" s="8">
        <v>115</v>
      </c>
      <c r="B95" s="8">
        <v>815</v>
      </c>
      <c r="C95" s="71"/>
      <c r="D95">
        <f>'Raw Project Data'!K44</f>
        <v>30</v>
      </c>
    </row>
    <row r="96" spans="1:4">
      <c r="A96" s="8">
        <v>125</v>
      </c>
      <c r="B96" s="8">
        <v>21</v>
      </c>
      <c r="C96" s="71"/>
      <c r="D96">
        <f>'Raw Project Data'!K45</f>
        <v>29</v>
      </c>
    </row>
    <row r="97" spans="1:4">
      <c r="A97" s="8">
        <v>240</v>
      </c>
      <c r="B97" s="8">
        <v>36</v>
      </c>
      <c r="C97" s="71"/>
      <c r="D97">
        <f>'Raw Project Data'!K46</f>
        <v>21</v>
      </c>
    </row>
    <row r="98" spans="1:4">
      <c r="A98" s="8">
        <v>109</v>
      </c>
      <c r="B98" s="8">
        <v>12</v>
      </c>
      <c r="C98" s="71"/>
      <c r="D98">
        <f>'Raw Project Data'!K47</f>
        <v>60</v>
      </c>
    </row>
    <row r="99" spans="1:4">
      <c r="A99" s="8">
        <v>116</v>
      </c>
      <c r="B99" s="8">
        <v>34</v>
      </c>
      <c r="C99" s="71"/>
      <c r="D99">
        <f>'Raw Project Data'!K48</f>
        <v>60</v>
      </c>
    </row>
    <row r="100" spans="1:4">
      <c r="A100" s="8">
        <v>118</v>
      </c>
      <c r="B100" s="8">
        <v>369</v>
      </c>
      <c r="C100" s="71"/>
      <c r="D100">
        <f>'Raw Project Data'!K49</f>
        <v>30</v>
      </c>
    </row>
    <row r="101" spans="1:4">
      <c r="A101" s="8">
        <v>130</v>
      </c>
      <c r="B101" s="8">
        <v>111</v>
      </c>
      <c r="C101" s="71"/>
      <c r="D101">
        <f>'Raw Project Data'!K50</f>
        <v>40</v>
      </c>
    </row>
    <row r="102" spans="1:4">
      <c r="A102" s="8">
        <v>565</v>
      </c>
      <c r="B102" s="8">
        <v>82</v>
      </c>
      <c r="C102" s="71"/>
      <c r="D102">
        <f>'Raw Project Data'!K51</f>
        <v>30</v>
      </c>
    </row>
    <row r="103" spans="1:4">
      <c r="A103" s="8">
        <v>21</v>
      </c>
      <c r="B103" s="8">
        <v>238</v>
      </c>
      <c r="C103" s="71"/>
      <c r="D103">
        <f>'Raw Project Data'!K52</f>
        <v>31</v>
      </c>
    </row>
    <row r="104" spans="1:4">
      <c r="A104" s="8">
        <v>110</v>
      </c>
      <c r="B104" s="8">
        <v>309</v>
      </c>
      <c r="C104" s="71"/>
      <c r="D104">
        <f>'Raw Project Data'!K53</f>
        <v>30</v>
      </c>
    </row>
    <row r="105" spans="1:4">
      <c r="A105" s="8">
        <v>161</v>
      </c>
      <c r="B105" s="8">
        <v>20</v>
      </c>
      <c r="C105" s="71"/>
      <c r="D105">
        <f>'Raw Project Data'!K54</f>
        <v>30</v>
      </c>
    </row>
    <row r="106" spans="1:4">
      <c r="A106" s="8">
        <v>100</v>
      </c>
      <c r="B106" s="8">
        <v>13</v>
      </c>
      <c r="C106" s="71"/>
      <c r="D106">
        <f>'Raw Project Data'!K55</f>
        <v>50</v>
      </c>
    </row>
    <row r="107" spans="1:4">
      <c r="A107" s="8">
        <v>130</v>
      </c>
      <c r="B107" s="8">
        <v>227</v>
      </c>
      <c r="C107" s="71"/>
      <c r="D107">
        <f>'Raw Project Data'!K56</f>
        <v>30</v>
      </c>
    </row>
    <row r="108" spans="1:4">
      <c r="A108" s="8">
        <v>112</v>
      </c>
      <c r="B108" s="8">
        <v>152</v>
      </c>
      <c r="C108" s="71"/>
      <c r="D108">
        <f>'Raw Project Data'!K57</f>
        <v>35</v>
      </c>
    </row>
    <row r="109" spans="1:4">
      <c r="A109" s="8">
        <v>104</v>
      </c>
      <c r="B109" s="8">
        <v>168</v>
      </c>
      <c r="C109" s="71"/>
      <c r="D109">
        <f>'Raw Project Data'!K58</f>
        <v>48</v>
      </c>
    </row>
    <row r="110" spans="1:4">
      <c r="A110" s="10">
        <v>323</v>
      </c>
      <c r="B110" s="8">
        <v>408</v>
      </c>
      <c r="C110" s="71"/>
      <c r="D110">
        <f>'Raw Project Data'!K59</f>
        <v>35</v>
      </c>
    </row>
    <row r="111" spans="1:4">
      <c r="A111" s="8">
        <v>1268</v>
      </c>
      <c r="B111" s="8">
        <v>56</v>
      </c>
      <c r="C111" s="71"/>
      <c r="D111">
        <f>'Raw Project Data'!K60</f>
        <v>39</v>
      </c>
    </row>
    <row r="112" spans="1:4">
      <c r="A112" s="8">
        <v>153</v>
      </c>
      <c r="B112" s="8">
        <v>147</v>
      </c>
      <c r="C112" s="71"/>
      <c r="D112">
        <f>'Raw Project Data'!K61</f>
        <v>24</v>
      </c>
    </row>
    <row r="113" spans="1:4">
      <c r="A113" s="8">
        <v>122</v>
      </c>
      <c r="B113" s="8">
        <v>116</v>
      </c>
      <c r="C113" s="71"/>
      <c r="D113">
        <f>'Raw Project Data'!K62</f>
        <v>48</v>
      </c>
    </row>
    <row r="114" spans="1:4">
      <c r="A114" s="8">
        <v>229</v>
      </c>
      <c r="B114" s="8">
        <v>9</v>
      </c>
      <c r="C114" s="71"/>
      <c r="D114">
        <f>'Raw Project Data'!K63</f>
        <v>42</v>
      </c>
    </row>
    <row r="115" spans="1:4">
      <c r="A115" s="8">
        <v>100</v>
      </c>
      <c r="B115" s="8">
        <v>1</v>
      </c>
      <c r="C115" s="71"/>
      <c r="D115">
        <f>'Raw Project Data'!K64</f>
        <v>22</v>
      </c>
    </row>
    <row r="116" spans="1:4">
      <c r="A116" s="8">
        <v>152</v>
      </c>
      <c r="B116" s="8">
        <v>120</v>
      </c>
      <c r="C116" s="71"/>
      <c r="D116">
        <f>'Raw Project Data'!K65</f>
        <v>39</v>
      </c>
    </row>
    <row r="117" spans="1:4">
      <c r="A117" s="8">
        <v>8</v>
      </c>
      <c r="B117" s="8">
        <v>20</v>
      </c>
      <c r="C117" s="71"/>
      <c r="D117">
        <f>'Raw Project Data'!K66</f>
        <v>29</v>
      </c>
    </row>
    <row r="118" spans="1:4">
      <c r="A118" s="8">
        <v>104</v>
      </c>
      <c r="B118" s="8">
        <v>183</v>
      </c>
      <c r="C118" s="71"/>
      <c r="D118">
        <f>'Raw Project Data'!K67</f>
        <v>9</v>
      </c>
    </row>
    <row r="119" spans="1:4">
      <c r="A119" s="8">
        <v>100</v>
      </c>
      <c r="B119" s="8">
        <v>141</v>
      </c>
      <c r="C119" s="71"/>
      <c r="D119">
        <f>'Raw Project Data'!K68</f>
        <v>44</v>
      </c>
    </row>
    <row r="120" spans="1:4">
      <c r="A120" s="10">
        <v>120</v>
      </c>
      <c r="B120" s="8">
        <v>16390</v>
      </c>
      <c r="C120" s="71"/>
      <c r="D120">
        <f>'Raw Project Data'!K69</f>
        <v>31</v>
      </c>
    </row>
    <row r="121" spans="1:4">
      <c r="A121" s="8">
        <v>154</v>
      </c>
      <c r="B121" s="8">
        <v>72</v>
      </c>
      <c r="C121" s="71"/>
      <c r="D121">
        <f>'Raw Project Data'!K70</f>
        <v>30</v>
      </c>
    </row>
    <row r="122" spans="1:4">
      <c r="A122" s="8">
        <v>108</v>
      </c>
      <c r="B122" s="8">
        <v>88</v>
      </c>
      <c r="C122" s="71"/>
      <c r="D122">
        <f>'Raw Project Data'!K71</f>
        <v>60</v>
      </c>
    </row>
    <row r="123" spans="1:4">
      <c r="A123" s="8">
        <v>102</v>
      </c>
      <c r="B123" s="8">
        <v>267</v>
      </c>
      <c r="C123" s="71"/>
      <c r="D123">
        <f>'Raw Project Data'!K72</f>
        <v>31</v>
      </c>
    </row>
    <row r="124" spans="1:4">
      <c r="A124" s="8">
        <v>114</v>
      </c>
      <c r="B124" s="8">
        <v>1</v>
      </c>
      <c r="C124" s="71"/>
      <c r="D124">
        <f>'Raw Project Data'!K73</f>
        <v>30</v>
      </c>
    </row>
    <row r="125" spans="1:4">
      <c r="A125" s="8">
        <v>231</v>
      </c>
      <c r="B125" s="8">
        <v>0</v>
      </c>
      <c r="C125" s="71"/>
      <c r="D125">
        <f>'Raw Project Data'!K74</f>
        <v>30</v>
      </c>
    </row>
    <row r="126" spans="1:4">
      <c r="A126" s="8">
        <v>103</v>
      </c>
      <c r="B126" s="8">
        <v>336</v>
      </c>
      <c r="C126" s="71"/>
      <c r="D126">
        <f>'Raw Project Data'!K75</f>
        <v>26</v>
      </c>
    </row>
    <row r="127" spans="1:4">
      <c r="A127" s="8">
        <v>106</v>
      </c>
      <c r="B127" s="8">
        <v>739</v>
      </c>
      <c r="C127" s="71"/>
      <c r="D127">
        <f>'Raw Project Data'!K76</f>
        <v>30</v>
      </c>
    </row>
    <row r="128" spans="1:4">
      <c r="A128" s="8">
        <v>109</v>
      </c>
      <c r="B128" s="8">
        <v>422</v>
      </c>
      <c r="C128" s="71"/>
      <c r="D128">
        <f>'Raw Project Data'!K77</f>
        <v>30</v>
      </c>
    </row>
    <row r="129" spans="1:4">
      <c r="A129" s="8">
        <v>107</v>
      </c>
      <c r="B129" s="8">
        <v>394</v>
      </c>
      <c r="C129" s="71"/>
      <c r="D129">
        <f>'Raw Project Data'!K78</f>
        <v>30</v>
      </c>
    </row>
    <row r="130" spans="1:4">
      <c r="A130" s="8">
        <v>127</v>
      </c>
      <c r="B130" s="8">
        <v>73</v>
      </c>
      <c r="C130" s="71"/>
      <c r="D130">
        <f>'Raw Project Data'!K79</f>
        <v>20</v>
      </c>
    </row>
    <row r="131" spans="1:4">
      <c r="A131" s="8">
        <v>428</v>
      </c>
      <c r="B131" s="8">
        <v>116</v>
      </c>
      <c r="C131" s="71"/>
      <c r="D131">
        <f>'Raw Project Data'!K80</f>
        <v>33</v>
      </c>
    </row>
    <row r="132" spans="1:4">
      <c r="A132" s="8">
        <v>135</v>
      </c>
      <c r="B132" s="8">
        <v>9</v>
      </c>
      <c r="C132" s="71"/>
      <c r="D132">
        <f>'Raw Project Data'!K81</f>
        <v>39</v>
      </c>
    </row>
    <row r="133" spans="1:4">
      <c r="A133" s="8">
        <v>104</v>
      </c>
      <c r="B133" s="8">
        <v>104</v>
      </c>
      <c r="C133" s="71"/>
      <c r="D133">
        <f>'Raw Project Data'!K82</f>
        <v>45</v>
      </c>
    </row>
    <row r="134" spans="1:4">
      <c r="A134" s="8">
        <v>104</v>
      </c>
      <c r="B134" s="8">
        <v>654</v>
      </c>
      <c r="C134" s="71"/>
      <c r="D134">
        <f>'Raw Project Data'!K83</f>
        <v>60</v>
      </c>
    </row>
    <row r="135" spans="1:4">
      <c r="A135" s="8">
        <v>121</v>
      </c>
      <c r="B135" s="8">
        <v>175</v>
      </c>
      <c r="C135" s="71"/>
      <c r="D135">
        <f>'Raw Project Data'!K84</f>
        <v>20</v>
      </c>
    </row>
    <row r="136" spans="1:4">
      <c r="A136" s="8">
        <v>133</v>
      </c>
      <c r="B136" s="8">
        <v>1408</v>
      </c>
      <c r="C136" s="71"/>
      <c r="D136">
        <f>'Raw Project Data'!K85</f>
        <v>15</v>
      </c>
    </row>
    <row r="137" spans="1:4">
      <c r="A137" s="8">
        <v>156</v>
      </c>
      <c r="B137" s="8">
        <v>449</v>
      </c>
      <c r="C137" s="71"/>
      <c r="D137">
        <f>'Raw Project Data'!K86</f>
        <v>40</v>
      </c>
    </row>
    <row r="138" spans="1:4">
      <c r="A138" s="8">
        <v>100</v>
      </c>
      <c r="B138" s="8">
        <v>11</v>
      </c>
      <c r="C138" s="71"/>
      <c r="D138">
        <f>'Raw Project Data'!K87</f>
        <v>45</v>
      </c>
    </row>
    <row r="139" spans="1:4">
      <c r="A139" s="8">
        <v>100</v>
      </c>
      <c r="B139" s="8">
        <v>71</v>
      </c>
      <c r="C139" s="71"/>
      <c r="D139">
        <f>'Raw Project Data'!K88</f>
        <v>30</v>
      </c>
    </row>
    <row r="140" spans="1:4">
      <c r="A140" s="8">
        <v>50</v>
      </c>
      <c r="B140" s="8">
        <v>130</v>
      </c>
      <c r="C140" s="71"/>
      <c r="D140">
        <f>'Raw Project Data'!K89</f>
        <v>30</v>
      </c>
    </row>
    <row r="141" spans="1:4">
      <c r="A141" s="8">
        <v>127</v>
      </c>
      <c r="B141" s="8">
        <v>6</v>
      </c>
      <c r="C141" s="71"/>
      <c r="D141">
        <f>'Raw Project Data'!K90</f>
        <v>14</v>
      </c>
    </row>
    <row r="142" spans="1:4">
      <c r="A142" s="8">
        <v>12</v>
      </c>
      <c r="B142" s="8">
        <v>32</v>
      </c>
      <c r="C142" s="71"/>
      <c r="D142">
        <f>'Raw Project Data'!K91</f>
        <v>30</v>
      </c>
    </row>
    <row r="143" spans="1:4">
      <c r="A143" s="8">
        <v>103</v>
      </c>
      <c r="B143" s="8">
        <v>822</v>
      </c>
      <c r="C143" s="71"/>
      <c r="D143">
        <f>'Raw Project Data'!K92</f>
        <v>60</v>
      </c>
    </row>
    <row r="144" spans="1:4">
      <c r="A144" s="8">
        <v>180</v>
      </c>
      <c r="B144" s="8">
        <v>6</v>
      </c>
      <c r="C144" s="71"/>
      <c r="D144">
        <f>'Raw Project Data'!K93</f>
        <v>23</v>
      </c>
    </row>
    <row r="145" spans="1:4">
      <c r="A145" s="8">
        <v>146</v>
      </c>
      <c r="B145" s="8">
        <v>336</v>
      </c>
      <c r="C145" s="71"/>
      <c r="D145">
        <f>'Raw Project Data'!K94</f>
        <v>43</v>
      </c>
    </row>
    <row r="146" spans="1:4">
      <c r="A146" s="8">
        <v>141</v>
      </c>
      <c r="B146" s="8">
        <v>102</v>
      </c>
      <c r="C146" s="71"/>
      <c r="D146">
        <f>'Raw Project Data'!K95</f>
        <v>30</v>
      </c>
    </row>
    <row r="147" spans="1:4">
      <c r="A147" s="8">
        <v>103</v>
      </c>
      <c r="B147" s="8">
        <v>144</v>
      </c>
      <c r="C147" s="71"/>
      <c r="D147">
        <f>'Raw Project Data'!K96</f>
        <v>30</v>
      </c>
    </row>
    <row r="148" spans="1:4">
      <c r="A148" s="8">
        <v>112</v>
      </c>
      <c r="B148" s="8">
        <v>45</v>
      </c>
      <c r="C148" s="71"/>
      <c r="D148">
        <f>'Raw Project Data'!K97</f>
        <v>21</v>
      </c>
    </row>
    <row r="149" spans="1:4">
      <c r="A149" s="8">
        <v>103</v>
      </c>
      <c r="B149" s="8">
        <v>87</v>
      </c>
      <c r="C149" s="71"/>
      <c r="D149">
        <f>'Raw Project Data'!K98</f>
        <v>30</v>
      </c>
    </row>
    <row r="150" spans="1:4">
      <c r="A150" s="8">
        <v>40</v>
      </c>
      <c r="B150" s="8">
        <v>467</v>
      </c>
      <c r="C150" s="71"/>
      <c r="D150">
        <f>'Raw Project Data'!K99</f>
        <v>30</v>
      </c>
    </row>
    <row r="151" spans="1:4">
      <c r="A151" s="8">
        <v>101</v>
      </c>
      <c r="B151" s="8">
        <v>107</v>
      </c>
      <c r="C151" s="71"/>
      <c r="D151">
        <f>'Raw Project Data'!K100</f>
        <v>20</v>
      </c>
    </row>
    <row r="152" spans="1:4">
      <c r="A152" s="8">
        <v>10</v>
      </c>
      <c r="B152" s="8">
        <v>72</v>
      </c>
      <c r="C152" s="71"/>
      <c r="D152">
        <f>'Raw Project Data'!K101</f>
        <v>30</v>
      </c>
    </row>
    <row r="153" spans="1:4">
      <c r="A153" s="8">
        <v>100</v>
      </c>
      <c r="B153" s="8">
        <v>165</v>
      </c>
      <c r="C153" s="71"/>
      <c r="D153">
        <f>'Raw Project Data'!K102</f>
        <v>18</v>
      </c>
    </row>
    <row r="154" spans="1:4">
      <c r="A154" s="8">
        <v>118</v>
      </c>
      <c r="B154" s="8">
        <v>66</v>
      </c>
      <c r="C154" s="71"/>
      <c r="D154">
        <f>'Raw Project Data'!K103</f>
        <v>39</v>
      </c>
    </row>
    <row r="155" spans="1:4">
      <c r="A155" s="8">
        <v>238</v>
      </c>
      <c r="B155" s="8">
        <v>93</v>
      </c>
      <c r="C155" s="71"/>
      <c r="D155">
        <f>'Raw Project Data'!K104</f>
        <v>22</v>
      </c>
    </row>
    <row r="156" spans="1:4">
      <c r="A156" s="8">
        <v>259</v>
      </c>
      <c r="B156" s="8">
        <v>564</v>
      </c>
      <c r="C156" s="71"/>
      <c r="D156">
        <f>'Raw Project Data'!K105</f>
        <v>20</v>
      </c>
    </row>
    <row r="157" spans="1:4">
      <c r="A157" s="8">
        <v>101</v>
      </c>
      <c r="B157" s="8">
        <v>269</v>
      </c>
      <c r="C157" s="71"/>
      <c r="D157">
        <f>'Raw Project Data'!K106</f>
        <v>19</v>
      </c>
    </row>
    <row r="158" spans="1:4">
      <c r="A158" s="8">
        <v>109</v>
      </c>
      <c r="B158" s="8">
        <v>168</v>
      </c>
      <c r="C158" s="71"/>
      <c r="D158">
        <f>'Raw Project Data'!K107</f>
        <v>30</v>
      </c>
    </row>
    <row r="159" spans="1:4">
      <c r="A159" s="8">
        <v>102</v>
      </c>
      <c r="B159" s="8">
        <v>255</v>
      </c>
      <c r="C159" s="71"/>
      <c r="D159">
        <f>'Raw Project Data'!K108</f>
        <v>30</v>
      </c>
    </row>
    <row r="160" spans="1:4">
      <c r="A160" s="8">
        <v>0</v>
      </c>
      <c r="B160" s="8">
        <v>0</v>
      </c>
      <c r="C160" s="71"/>
      <c r="D160">
        <f>'Raw Project Data'!K109</f>
        <v>30</v>
      </c>
    </row>
    <row r="161" spans="1:4">
      <c r="A161" s="8">
        <v>106</v>
      </c>
      <c r="B161" s="8">
        <v>236</v>
      </c>
      <c r="C161" s="71"/>
      <c r="D161">
        <f>'Raw Project Data'!K110</f>
        <v>30</v>
      </c>
    </row>
    <row r="162" spans="1:4">
      <c r="A162" s="8">
        <v>105</v>
      </c>
      <c r="B162" s="8">
        <v>99</v>
      </c>
      <c r="C162" s="71"/>
      <c r="D162">
        <f>'Raw Project Data'!K111</f>
        <v>30</v>
      </c>
    </row>
    <row r="163" spans="1:4">
      <c r="A163" s="8">
        <v>132</v>
      </c>
      <c r="B163" s="8">
        <v>104</v>
      </c>
      <c r="C163" s="71"/>
      <c r="D163">
        <f>'Raw Project Data'!K112</f>
        <v>30</v>
      </c>
    </row>
    <row r="164" spans="1:4">
      <c r="A164" s="8">
        <v>144</v>
      </c>
      <c r="B164" s="8">
        <v>970</v>
      </c>
      <c r="C164" s="71"/>
      <c r="D164">
        <f>'Raw Project Data'!K113</f>
        <v>25</v>
      </c>
    </row>
    <row r="165" spans="1:4">
      <c r="A165" s="11">
        <v>103</v>
      </c>
      <c r="B165" s="8"/>
      <c r="C165" s="71"/>
      <c r="D165">
        <f>'Raw Project Data'!K114</f>
        <v>14</v>
      </c>
    </row>
    <row r="166" spans="1:4">
      <c r="A166" s="8">
        <v>121</v>
      </c>
      <c r="B166" s="8">
        <v>95</v>
      </c>
      <c r="C166" s="71"/>
      <c r="D166">
        <f>'Raw Project Data'!K115</f>
        <v>30</v>
      </c>
    </row>
    <row r="167" spans="1:4">
      <c r="A167" s="8">
        <v>144</v>
      </c>
      <c r="B167" s="8">
        <v>167</v>
      </c>
      <c r="C167" s="71"/>
      <c r="D167">
        <f>'Raw Project Data'!K116</f>
        <v>23</v>
      </c>
    </row>
    <row r="168" spans="1:4">
      <c r="A168" s="8">
        <v>139</v>
      </c>
      <c r="B168" s="8">
        <v>216</v>
      </c>
      <c r="C168" s="71"/>
      <c r="D168">
        <f>'Raw Project Data'!K117</f>
        <v>60</v>
      </c>
    </row>
    <row r="169" spans="1:4">
      <c r="A169" s="8">
        <v>247</v>
      </c>
      <c r="B169" s="8">
        <v>11</v>
      </c>
      <c r="C169" s="71"/>
      <c r="D169">
        <f>'Raw Project Data'!K118</f>
        <v>30</v>
      </c>
    </row>
    <row r="170" spans="1:4">
      <c r="A170" s="8">
        <v>157</v>
      </c>
      <c r="B170" s="8">
        <v>80</v>
      </c>
      <c r="C170" s="71"/>
      <c r="D170">
        <f>'Raw Project Data'!K119</f>
        <v>10</v>
      </c>
    </row>
    <row r="171" spans="1:4">
      <c r="A171" s="8">
        <v>105</v>
      </c>
      <c r="B171" s="8">
        <v>92</v>
      </c>
      <c r="C171" s="71"/>
      <c r="D171">
        <f>'Raw Project Data'!K120</f>
        <v>34</v>
      </c>
    </row>
    <row r="172" spans="1:4">
      <c r="A172" s="8">
        <v>100</v>
      </c>
      <c r="B172" s="8">
        <v>19</v>
      </c>
      <c r="C172" s="71"/>
      <c r="D172">
        <f>'Raw Project Data'!K121</f>
        <v>30</v>
      </c>
    </row>
    <row r="173" spans="1:4">
      <c r="A173" s="8">
        <v>186</v>
      </c>
      <c r="B173" s="8">
        <v>8</v>
      </c>
      <c r="C173" s="71"/>
      <c r="D173">
        <f>'Raw Project Data'!K122</f>
        <v>29</v>
      </c>
    </row>
    <row r="174" spans="1:4">
      <c r="A174" s="8">
        <v>127</v>
      </c>
      <c r="B174" s="8">
        <v>111</v>
      </c>
      <c r="C174" s="71"/>
      <c r="D174">
        <f>'Raw Project Data'!K123</f>
        <v>31</v>
      </c>
    </row>
    <row r="175" spans="1:4">
      <c r="A175" s="8">
        <v>103</v>
      </c>
      <c r="B175" s="8">
        <v>65</v>
      </c>
      <c r="C175" s="71"/>
      <c r="D175">
        <f>'Raw Project Data'!K124</f>
        <v>30</v>
      </c>
    </row>
    <row r="176" spans="1:4">
      <c r="A176" s="8">
        <v>101</v>
      </c>
      <c r="B176" s="8">
        <v>321</v>
      </c>
      <c r="C176" s="71"/>
      <c r="D176">
        <f>'Raw Project Data'!K125</f>
        <v>31</v>
      </c>
    </row>
    <row r="177" spans="1:4">
      <c r="A177" s="8">
        <v>117</v>
      </c>
      <c r="B177" s="8">
        <v>139</v>
      </c>
      <c r="C177" s="71"/>
      <c r="D177">
        <f>'Raw Project Data'!K126</f>
        <v>33</v>
      </c>
    </row>
    <row r="178" spans="1:4">
      <c r="A178" s="8">
        <v>121</v>
      </c>
      <c r="B178" s="8">
        <v>282</v>
      </c>
      <c r="C178" s="71"/>
      <c r="D178">
        <f>'Raw Project Data'!K127</f>
        <v>28</v>
      </c>
    </row>
    <row r="179" spans="1:4">
      <c r="A179" s="8">
        <v>49</v>
      </c>
      <c r="B179" s="8">
        <v>43</v>
      </c>
      <c r="C179" s="71"/>
      <c r="D179">
        <f>'Raw Project Data'!K128</f>
        <v>52</v>
      </c>
    </row>
    <row r="180" spans="1:4">
      <c r="A180" s="8">
        <v>1</v>
      </c>
      <c r="B180" s="8">
        <v>44</v>
      </c>
      <c r="C180" s="71"/>
      <c r="D180">
        <f>'Raw Project Data'!K129</f>
        <v>30</v>
      </c>
    </row>
    <row r="181" spans="1:4">
      <c r="A181" s="8">
        <v>150</v>
      </c>
      <c r="B181" s="8">
        <v>339</v>
      </c>
      <c r="C181" s="71"/>
      <c r="D181">
        <f>'Raw Project Data'!K130</f>
        <v>30</v>
      </c>
    </row>
    <row r="182" spans="1:4">
      <c r="A182" s="11">
        <v>202</v>
      </c>
      <c r="B182" s="8"/>
      <c r="C182" s="71"/>
      <c r="D182">
        <f>'Raw Project Data'!K131</f>
        <v>21</v>
      </c>
    </row>
    <row r="183" spans="1:4">
      <c r="A183" s="8">
        <v>105</v>
      </c>
      <c r="B183" s="8">
        <v>72</v>
      </c>
      <c r="C183" s="71"/>
      <c r="D183">
        <f>'Raw Project Data'!K132</f>
        <v>30</v>
      </c>
    </row>
    <row r="184" spans="1:4">
      <c r="A184" s="11">
        <v>156</v>
      </c>
      <c r="B184" s="8"/>
      <c r="C184" s="71"/>
      <c r="D184">
        <f>'Raw Project Data'!K133</f>
        <v>30</v>
      </c>
    </row>
    <row r="185" spans="1:4">
      <c r="A185" s="11">
        <v>111</v>
      </c>
      <c r="B185" s="8"/>
      <c r="C185" s="71"/>
      <c r="D185">
        <f>'Raw Project Data'!K134</f>
        <v>33</v>
      </c>
    </row>
    <row r="186" spans="1:4">
      <c r="A186" s="8">
        <v>132</v>
      </c>
      <c r="B186" s="8">
        <v>124</v>
      </c>
      <c r="C186" s="71"/>
      <c r="D186">
        <f>'Raw Project Data'!K135</f>
        <v>46</v>
      </c>
    </row>
    <row r="187" spans="1:4">
      <c r="A187" s="8">
        <v>105</v>
      </c>
      <c r="B187" s="8">
        <v>88</v>
      </c>
      <c r="C187" s="71"/>
      <c r="D187">
        <f>'Raw Project Data'!K136</f>
        <v>40</v>
      </c>
    </row>
    <row r="188" spans="1:4">
      <c r="A188" s="8">
        <v>141</v>
      </c>
      <c r="B188" s="8">
        <v>229</v>
      </c>
      <c r="C188" s="71"/>
      <c r="D188">
        <f>'Raw Project Data'!K137</f>
        <v>30</v>
      </c>
    </row>
    <row r="189" spans="1:4">
      <c r="A189" s="8">
        <v>9</v>
      </c>
      <c r="B189" s="8">
        <v>27</v>
      </c>
      <c r="C189" s="71"/>
      <c r="D189">
        <f>'Raw Project Data'!K138</f>
        <v>30</v>
      </c>
    </row>
    <row r="190" spans="1:4">
      <c r="A190" s="8">
        <v>780</v>
      </c>
      <c r="B190" s="8">
        <v>1331</v>
      </c>
      <c r="C190" s="71"/>
      <c r="D190">
        <f>'Raw Project Data'!K139</f>
        <v>30</v>
      </c>
    </row>
    <row r="191" spans="1:4">
      <c r="A191" s="8">
        <v>110</v>
      </c>
      <c r="B191" s="8">
        <v>84</v>
      </c>
      <c r="C191" s="71"/>
      <c r="D191">
        <f>'Raw Project Data'!K140</f>
        <v>30</v>
      </c>
    </row>
    <row r="192" spans="1:4">
      <c r="A192" s="8">
        <v>107</v>
      </c>
      <c r="B192" s="8">
        <v>115</v>
      </c>
      <c r="C192" s="71"/>
      <c r="D192">
        <f>'Raw Project Data'!K141</f>
        <v>43</v>
      </c>
    </row>
    <row r="193" spans="1:4">
      <c r="A193" s="8">
        <v>116</v>
      </c>
      <c r="B193" s="8">
        <v>82</v>
      </c>
      <c r="C193" s="71"/>
      <c r="D193">
        <f>'Raw Project Data'!K142</f>
        <v>16</v>
      </c>
    </row>
    <row r="194" spans="1:4">
      <c r="A194" s="8">
        <v>142</v>
      </c>
      <c r="B194" s="8">
        <v>31</v>
      </c>
      <c r="C194" s="71"/>
      <c r="D194">
        <f>'Raw Project Data'!K143</f>
        <v>7</v>
      </c>
    </row>
    <row r="195" spans="1:4">
      <c r="A195" s="8">
        <v>100</v>
      </c>
      <c r="B195" s="8">
        <v>952</v>
      </c>
      <c r="C195" s="71"/>
      <c r="D195">
        <f>'Raw Project Data'!K144</f>
        <v>21</v>
      </c>
    </row>
    <row r="196" spans="1:4">
      <c r="A196" s="8">
        <v>100</v>
      </c>
      <c r="B196" s="8">
        <v>346</v>
      </c>
      <c r="C196" s="71"/>
      <c r="D196">
        <f>'Raw Project Data'!K145</f>
        <v>30</v>
      </c>
    </row>
    <row r="197" spans="1:4">
      <c r="A197" s="8">
        <v>1</v>
      </c>
      <c r="B197" s="8">
        <v>153</v>
      </c>
      <c r="C197" s="71"/>
      <c r="D197">
        <f>'Raw Project Data'!K146</f>
        <v>53</v>
      </c>
    </row>
    <row r="198" spans="1:4">
      <c r="A198" s="8">
        <v>115</v>
      </c>
      <c r="B198" s="8">
        <v>195</v>
      </c>
      <c r="C198" s="71"/>
      <c r="D198">
        <f>'Raw Project Data'!K147</f>
        <v>30</v>
      </c>
    </row>
    <row r="199" spans="1:4">
      <c r="A199" s="8">
        <v>126</v>
      </c>
      <c r="B199" s="8">
        <v>513</v>
      </c>
      <c r="C199" s="71"/>
      <c r="D199">
        <f>'Raw Project Data'!K148</f>
        <v>30</v>
      </c>
    </row>
    <row r="200" spans="1:4">
      <c r="A200" s="8">
        <v>5</v>
      </c>
      <c r="B200" s="8">
        <v>127</v>
      </c>
      <c r="C200" s="71"/>
      <c r="D200">
        <f>'Raw Project Data'!K149</f>
        <v>30</v>
      </c>
    </row>
    <row r="201" spans="1:4">
      <c r="A201" s="8">
        <v>105</v>
      </c>
      <c r="B201" s="8">
        <v>287</v>
      </c>
      <c r="C201" s="71"/>
      <c r="D201">
        <f>'Raw Project Data'!K150</f>
        <v>44</v>
      </c>
    </row>
    <row r="202" spans="1:4">
      <c r="A202" s="8">
        <v>1</v>
      </c>
      <c r="B202" s="8">
        <v>1</v>
      </c>
      <c r="C202" s="71"/>
      <c r="D202">
        <f>'Raw Project Data'!K151</f>
        <v>60</v>
      </c>
    </row>
    <row r="203" spans="1:4">
      <c r="A203" s="8">
        <v>122</v>
      </c>
      <c r="B203" s="8">
        <v>46</v>
      </c>
      <c r="C203" s="71"/>
      <c r="D203">
        <f>'Raw Project Data'!K152</f>
        <v>31</v>
      </c>
    </row>
    <row r="204" spans="1:4">
      <c r="A204" s="8">
        <v>125</v>
      </c>
      <c r="B204" s="8">
        <v>748</v>
      </c>
      <c r="C204" s="71"/>
      <c r="D204">
        <f>'Raw Project Data'!K153</f>
        <v>30</v>
      </c>
    </row>
    <row r="205" spans="1:4">
      <c r="A205" s="8">
        <v>14</v>
      </c>
      <c r="B205" s="8">
        <v>25</v>
      </c>
      <c r="C205" s="71"/>
      <c r="D205">
        <f>'Raw Project Data'!K154</f>
        <v>30</v>
      </c>
    </row>
    <row r="206" spans="1:4">
      <c r="A206" s="11">
        <v>103</v>
      </c>
      <c r="B206" s="11">
        <v>726</v>
      </c>
      <c r="C206" s="72"/>
      <c r="D206">
        <f>'Raw Project Data'!K155</f>
        <v>30</v>
      </c>
    </row>
    <row r="207" spans="1:4">
      <c r="A207" s="8">
        <v>51</v>
      </c>
      <c r="B207" s="8">
        <v>142</v>
      </c>
      <c r="C207" s="71"/>
      <c r="D207">
        <f>'Raw Project Data'!K156</f>
        <v>21</v>
      </c>
    </row>
    <row r="208" spans="1:4">
      <c r="A208" s="8">
        <v>59</v>
      </c>
      <c r="B208" s="8">
        <v>147</v>
      </c>
      <c r="C208" s="71"/>
      <c r="D208">
        <f>'Raw Project Data'!K157</f>
        <v>27</v>
      </c>
    </row>
    <row r="209" spans="1:4">
      <c r="A209" s="11">
        <v>74</v>
      </c>
      <c r="B209" s="11">
        <v>321</v>
      </c>
      <c r="C209" s="72"/>
      <c r="D209">
        <f>'Raw Project Data'!K158</f>
        <v>30</v>
      </c>
    </row>
    <row r="210" spans="1:4">
      <c r="A210" s="11">
        <v>162</v>
      </c>
      <c r="B210" s="11">
        <v>181</v>
      </c>
      <c r="C210" s="72"/>
      <c r="D210">
        <f>'Raw Project Data'!K159</f>
        <v>20</v>
      </c>
    </row>
    <row r="211" spans="1:4">
      <c r="A211" s="8">
        <v>16</v>
      </c>
      <c r="B211" s="8">
        <v>276</v>
      </c>
      <c r="C211" s="71"/>
      <c r="D211">
        <f>'Raw Project Data'!K160</f>
        <v>31</v>
      </c>
    </row>
    <row r="212" spans="1:4">
      <c r="A212" s="8">
        <v>117</v>
      </c>
      <c r="B212" s="8">
        <v>159</v>
      </c>
      <c r="C212" s="71"/>
      <c r="D212">
        <f>'Raw Project Data'!K161</f>
        <v>30</v>
      </c>
    </row>
    <row r="213" spans="1:4">
      <c r="A213" s="11">
        <v>15</v>
      </c>
      <c r="B213" s="11">
        <v>42</v>
      </c>
      <c r="C213" s="72"/>
      <c r="D213">
        <f>'Raw Project Data'!K162</f>
        <v>27</v>
      </c>
    </row>
    <row r="214" spans="1:4">
      <c r="A214" s="11">
        <v>1</v>
      </c>
      <c r="B214" s="11">
        <v>6</v>
      </c>
      <c r="C214" s="72"/>
      <c r="D214">
        <f>'Raw Project Data'!K163</f>
        <v>49</v>
      </c>
    </row>
    <row r="215" spans="1:4">
      <c r="A215" s="8">
        <v>31</v>
      </c>
      <c r="B215" s="8">
        <v>1484</v>
      </c>
      <c r="C215" s="71"/>
      <c r="D215">
        <f>'Raw Project Data'!K164</f>
        <v>30</v>
      </c>
    </row>
    <row r="216" spans="1:4">
      <c r="A216" s="11">
        <v>30</v>
      </c>
      <c r="B216" s="11">
        <v>291</v>
      </c>
      <c r="C216" s="72"/>
      <c r="D216">
        <f>'Raw Project Data'!K165</f>
        <v>30</v>
      </c>
    </row>
    <row r="217" spans="1:4">
      <c r="A217" s="8">
        <v>50</v>
      </c>
      <c r="B217" s="8">
        <v>26</v>
      </c>
      <c r="C217" s="71"/>
      <c r="D217">
        <f>'Raw Project Data'!K166</f>
        <v>30</v>
      </c>
    </row>
    <row r="218" spans="1:4">
      <c r="A218" s="15">
        <v>0.04</v>
      </c>
      <c r="B218" s="11">
        <v>10</v>
      </c>
      <c r="C218" s="72"/>
      <c r="D218">
        <f>'Raw Project Data'!K167</f>
        <v>30</v>
      </c>
    </row>
    <row r="219" spans="1:4">
      <c r="A219" s="11">
        <v>20</v>
      </c>
      <c r="B219" s="11">
        <v>66</v>
      </c>
      <c r="C219" s="72"/>
      <c r="D219">
        <f>'Raw Project Data'!K168</f>
        <v>30</v>
      </c>
    </row>
    <row r="220" spans="1:4">
      <c r="A220" s="11">
        <v>330</v>
      </c>
      <c r="B220" s="11">
        <v>471</v>
      </c>
      <c r="C220" s="72"/>
      <c r="D220">
        <f>'Raw Project Data'!K169</f>
        <v>27</v>
      </c>
    </row>
    <row r="221" spans="1:4">
      <c r="A221" s="10">
        <v>63</v>
      </c>
      <c r="B221" s="8">
        <v>50</v>
      </c>
      <c r="C221" s="71"/>
      <c r="D221">
        <f>'Raw Project Data'!K170</f>
        <v>30</v>
      </c>
    </row>
    <row r="222" spans="1:4">
      <c r="A222" s="11">
        <v>63</v>
      </c>
      <c r="B222" s="11">
        <v>46</v>
      </c>
      <c r="C222" s="72"/>
      <c r="D222">
        <f>'Raw Project Data'!K171</f>
        <v>30</v>
      </c>
    </row>
    <row r="223" spans="1:4">
      <c r="A223" s="11">
        <v>6</v>
      </c>
      <c r="B223" s="11">
        <v>71</v>
      </c>
      <c r="C223" s="72"/>
      <c r="D223">
        <f>'Raw Project Data'!K172</f>
        <v>27</v>
      </c>
    </row>
    <row r="224" spans="1:4">
      <c r="A224" s="11">
        <v>100</v>
      </c>
      <c r="B224" s="11"/>
      <c r="C224" s="72"/>
      <c r="D224">
        <f>'Raw Project Data'!K173</f>
        <v>0</v>
      </c>
    </row>
    <row r="225" spans="1:4">
      <c r="A225" s="11">
        <v>277</v>
      </c>
      <c r="B225" s="11"/>
      <c r="C225" s="72"/>
      <c r="D225">
        <f>'Raw Project Data'!K174</f>
        <v>31</v>
      </c>
    </row>
    <row r="226" spans="1:4">
      <c r="A226" s="11">
        <v>896</v>
      </c>
      <c r="B226" s="11"/>
      <c r="C226" s="72"/>
      <c r="D226">
        <f>'Raw Project Data'!K175</f>
        <v>31</v>
      </c>
    </row>
    <row r="227" spans="1:4">
      <c r="A227" s="11">
        <v>104</v>
      </c>
      <c r="B227" s="11"/>
      <c r="C227" s="72"/>
      <c r="D227">
        <f>'Raw Project Data'!K176</f>
        <v>30</v>
      </c>
    </row>
    <row r="228" spans="1:4">
      <c r="A228" s="11">
        <v>116</v>
      </c>
      <c r="B228" s="11"/>
      <c r="C228" s="72"/>
      <c r="D228">
        <f>'Raw Project Data'!K177</f>
        <v>41</v>
      </c>
    </row>
    <row r="229" spans="1:4">
      <c r="A229" s="11">
        <v>0</v>
      </c>
      <c r="B229" s="11">
        <v>0</v>
      </c>
      <c r="C229" s="72"/>
      <c r="D229">
        <f>'Raw Project Data'!K178</f>
        <v>27</v>
      </c>
    </row>
    <row r="230" spans="1:4">
      <c r="A230" s="11">
        <v>113</v>
      </c>
      <c r="B230" s="11"/>
      <c r="C230" s="72"/>
      <c r="D230">
        <f>'Raw Project Data'!K179</f>
        <v>35</v>
      </c>
    </row>
  </sheetData>
  <phoneticPr fontId="9" type="noConversion"/>
  <pageMargins left="0.75" right="0.75" top="1" bottom="1" header="0.5" footer="0.5"/>
  <pageSetup orientation="portrait" horizontalDpi="4294967292" verticalDpi="4294967292"/>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Raw Project Data</vt:lpstr>
      <vt:lpstr>Metric Breakdown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Cairn</dc:creator>
  <cp:lastModifiedBy>Cairn</cp:lastModifiedBy>
  <dcterms:created xsi:type="dcterms:W3CDTF">2013-01-17T20:03:37Z</dcterms:created>
  <dcterms:modified xsi:type="dcterms:W3CDTF">2013-02-03T14:57:36Z</dcterms:modified>
</cp:coreProperties>
</file>